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dai Ferencne\Desktop\Közérdekű adatok\Testületi előterjesztések\2018. év\2018.05.31.rk\"/>
    </mc:Choice>
  </mc:AlternateContent>
  <xr:revisionPtr revIDLastSave="0" documentId="8_{3E351CFA-02F2-4644-AD90-6F386A127E99}" xr6:coauthVersionLast="34" xr6:coauthVersionMax="34" xr10:uidLastSave="{00000000-0000-0000-0000-000000000000}"/>
  <bookViews>
    <workbookView xWindow="0" yWindow="0" windowWidth="28800" windowHeight="12225" tabRatio="932" activeTab="7" xr2:uid="{00000000-000D-0000-FFFF-FFFF00000000}"/>
  </bookViews>
  <sheets>
    <sheet name="1. pénzkészlet" sheetId="66" r:id="rId1"/>
    <sheet name="2 mérleg" sheetId="2" r:id="rId2"/>
    <sheet name="3 bevételek" sheetId="50" r:id="rId3"/>
    <sheet name="4 int-i bevételek " sheetId="32" r:id="rId4"/>
    <sheet name="5 kiadások" sheetId="30" r:id="rId5"/>
    <sheet name="6 beruházások" sheetId="52" r:id="rId6"/>
    <sheet name="7. céltartalék" sheetId="53" r:id="rId7"/>
    <sheet name="8. EU" sheetId="54" r:id="rId8"/>
    <sheet name="9. többéves" sheetId="55" r:id="rId9"/>
    <sheet name="10. fejl" sheetId="56" r:id="rId10"/>
    <sheet name="11. maradvány" sheetId="57" r:id="rId11"/>
    <sheet name="12A vagyon16" sheetId="58" r:id="rId12"/>
    <sheet name="12B vagyon17" sheetId="59" r:id="rId13"/>
    <sheet name="12C" sheetId="67" r:id="rId14"/>
    <sheet name="13. ered.kim." sheetId="62" r:id="rId15"/>
    <sheet name="1. kimutatás" sheetId="63" r:id="rId16"/>
    <sheet name="2. kimutatás" sheetId="64" r:id="rId17"/>
    <sheet name="3. kimutatás" sheetId="65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_xlnm.Print_Titles" localSheetId="2">'3 bevételek'!$4:$5</definedName>
    <definedName name="_xlnm.Print_Titles" localSheetId="3">'4 int-i bevételek '!$5:$8</definedName>
    <definedName name="_xlnm.Print_Titles" localSheetId="4">'5 kiadások'!$5:$7</definedName>
    <definedName name="_xlnm.Print_Titles" localSheetId="5">'6 beruházások'!$4:$5</definedName>
    <definedName name="_xlnm.Print_Area" localSheetId="1">'2 mérleg'!$A$1:$E$178</definedName>
    <definedName name="_xlnm.Print_Area" localSheetId="2">'3 bevételek'!$A$1:$H$841</definedName>
    <definedName name="_xlnm.Print_Area" localSheetId="3">'4 int-i bevételek '!$A$1:$N$48</definedName>
    <definedName name="_xlnm.Print_Area" localSheetId="4">'5 kiadások'!$B$1:$S$366</definedName>
    <definedName name="_xlnm.Print_Area" localSheetId="5">'6 beruházások'!$A$1:$F$79</definedName>
  </definedNames>
  <calcPr calcId="162913"/>
</workbook>
</file>

<file path=xl/calcChain.xml><?xml version="1.0" encoding="utf-8"?>
<calcChain xmlns="http://schemas.openxmlformats.org/spreadsheetml/2006/main">
  <c r="F327" i="30" l="1"/>
  <c r="F328" i="30"/>
  <c r="E6" i="52" l="1"/>
  <c r="G106" i="30"/>
  <c r="S372" i="30" l="1"/>
  <c r="S373" i="30"/>
  <c r="S371" i="30"/>
  <c r="S46" i="30"/>
  <c r="S47" i="30"/>
  <c r="S45" i="30"/>
  <c r="S50" i="30"/>
  <c r="S49" i="30"/>
  <c r="S54" i="30"/>
  <c r="S55" i="30"/>
  <c r="S53" i="30"/>
  <c r="S58" i="30"/>
  <c r="S59" i="30"/>
  <c r="S57" i="30"/>
  <c r="S70" i="30"/>
  <c r="S71" i="30"/>
  <c r="S69" i="30"/>
  <c r="N24" i="32" l="1"/>
  <c r="J24" i="32"/>
  <c r="N28" i="32"/>
  <c r="K28" i="32"/>
  <c r="K32" i="32"/>
  <c r="N32" i="32"/>
  <c r="K31" i="32"/>
  <c r="K24" i="32"/>
  <c r="K27" i="32"/>
  <c r="N26" i="32"/>
  <c r="R67" i="30"/>
  <c r="K16" i="32" l="1"/>
  <c r="R15" i="30"/>
  <c r="R13" i="30"/>
  <c r="K15" i="32"/>
  <c r="K11" i="32" s="1"/>
  <c r="I55" i="30"/>
  <c r="J55" i="30"/>
  <c r="K55" i="30"/>
  <c r="L55" i="30"/>
  <c r="G54" i="30"/>
  <c r="H54" i="30"/>
  <c r="I54" i="30"/>
  <c r="J54" i="30"/>
  <c r="K54" i="30"/>
  <c r="L54" i="30"/>
  <c r="G53" i="30"/>
  <c r="H53" i="30"/>
  <c r="I53" i="30"/>
  <c r="M53" i="30" s="1"/>
  <c r="J53" i="30"/>
  <c r="K53" i="30"/>
  <c r="L53" i="30"/>
  <c r="F53" i="30"/>
  <c r="F49" i="30"/>
  <c r="K155" i="30" l="1"/>
  <c r="K159" i="30"/>
  <c r="K151" i="30" l="1"/>
  <c r="K127" i="30" s="1"/>
  <c r="M198" i="30"/>
  <c r="R198" i="30" s="1"/>
  <c r="M200" i="30"/>
  <c r="R201" i="30"/>
  <c r="M202" i="30"/>
  <c r="N140" i="30"/>
  <c r="F15" i="52"/>
  <c r="H208" i="30"/>
  <c r="G208" i="30"/>
  <c r="N202" i="30"/>
  <c r="H200" i="30"/>
  <c r="R205" i="30"/>
  <c r="O373" i="30"/>
  <c r="P373" i="30"/>
  <c r="Q373" i="30"/>
  <c r="O372" i="30"/>
  <c r="P372" i="30"/>
  <c r="Q372" i="30"/>
  <c r="O371" i="30"/>
  <c r="P371" i="30"/>
  <c r="Q371" i="30"/>
  <c r="K352" i="30"/>
  <c r="K353" i="30"/>
  <c r="K351" i="30"/>
  <c r="J353" i="30"/>
  <c r="J351" i="30"/>
  <c r="K152" i="30"/>
  <c r="K128" i="30" s="1"/>
  <c r="K156" i="30"/>
  <c r="R202" i="30" l="1"/>
  <c r="H63" i="30"/>
  <c r="K36" i="32"/>
  <c r="K35" i="32"/>
  <c r="K12" i="32" l="1"/>
  <c r="H139" i="30" l="1"/>
  <c r="S332" i="30"/>
  <c r="S328" i="30" s="1"/>
  <c r="S331" i="30"/>
  <c r="S327" i="30" s="1"/>
  <c r="S330" i="30"/>
  <c r="S326" i="30" s="1"/>
  <c r="N211" i="30" l="1"/>
  <c r="E17" i="52"/>
  <c r="N284" i="30"/>
  <c r="N244" i="30"/>
  <c r="N212" i="30"/>
  <c r="N192" i="30"/>
  <c r="N180" i="30"/>
  <c r="F16" i="52"/>
  <c r="N188" i="30" s="1"/>
  <c r="N236" i="30"/>
  <c r="F10" i="52"/>
  <c r="M366" i="30"/>
  <c r="S367" i="30"/>
  <c r="D174" i="2"/>
  <c r="D173" i="2"/>
  <c r="D172" i="2"/>
  <c r="H79" i="30"/>
  <c r="K123" i="30" l="1"/>
  <c r="J150" i="30"/>
  <c r="J126" i="30" s="1"/>
  <c r="L150" i="30"/>
  <c r="K150" i="30"/>
  <c r="L127" i="30"/>
  <c r="L126" i="30"/>
  <c r="H256" i="30"/>
  <c r="H254" i="30"/>
  <c r="H260" i="30"/>
  <c r="K126" i="30" l="1"/>
  <c r="K122" i="30" s="1"/>
  <c r="H252" i="30"/>
  <c r="J122" i="30"/>
  <c r="F222" i="30" l="1"/>
  <c r="D107" i="2"/>
  <c r="D108" i="2"/>
  <c r="E108" i="2" s="1"/>
  <c r="D106" i="2"/>
  <c r="C107" i="2"/>
  <c r="C108" i="2"/>
  <c r="C106" i="2"/>
  <c r="D115" i="2"/>
  <c r="D116" i="2"/>
  <c r="D114" i="2"/>
  <c r="C115" i="2"/>
  <c r="C116" i="2"/>
  <c r="C114" i="2"/>
  <c r="D110" i="2"/>
  <c r="C110" i="2"/>
  <c r="E98" i="2"/>
  <c r="E99" i="2"/>
  <c r="E100" i="2"/>
  <c r="D78" i="2"/>
  <c r="E78" i="2" s="1"/>
  <c r="D79" i="2"/>
  <c r="E79" i="2" s="1"/>
  <c r="D77" i="2"/>
  <c r="E77" i="2" s="1"/>
  <c r="C74" i="2"/>
  <c r="C75" i="2"/>
  <c r="E75" i="2" s="1"/>
  <c r="C73" i="2"/>
  <c r="E73" i="2" s="1"/>
  <c r="E74" i="2"/>
  <c r="D161" i="2"/>
  <c r="E161" i="2" s="1"/>
  <c r="D162" i="2"/>
  <c r="E162" i="2" s="1"/>
  <c r="D160" i="2"/>
  <c r="E160" i="2" s="1"/>
  <c r="E171" i="2"/>
  <c r="E17" i="2"/>
  <c r="E18" i="2"/>
  <c r="E19" i="2"/>
  <c r="E25" i="2"/>
  <c r="E26" i="2"/>
  <c r="E27" i="2"/>
  <c r="E37" i="2"/>
  <c r="E38" i="2"/>
  <c r="E39" i="2"/>
  <c r="E40" i="2"/>
  <c r="E41" i="2"/>
  <c r="E42" i="2"/>
  <c r="E43" i="2"/>
  <c r="G11" i="66"/>
  <c r="G10" i="66"/>
  <c r="G9" i="66"/>
  <c r="G8" i="66"/>
  <c r="G7" i="66"/>
  <c r="G6" i="66"/>
  <c r="D102" i="2" l="1"/>
  <c r="D93" i="2" s="1"/>
  <c r="E115" i="2"/>
  <c r="E106" i="2"/>
  <c r="E116" i="2"/>
  <c r="E114" i="2"/>
  <c r="E107" i="2"/>
  <c r="E110" i="2"/>
  <c r="C102" i="2"/>
  <c r="C93" i="2" s="1"/>
  <c r="D11" i="65"/>
  <c r="E11" i="65"/>
  <c r="F11" i="65"/>
  <c r="G11" i="65"/>
  <c r="H11" i="65"/>
  <c r="I11" i="65"/>
  <c r="J11" i="65"/>
  <c r="K11" i="65"/>
  <c r="C11" i="65"/>
  <c r="E102" i="2" l="1"/>
  <c r="E93" i="2"/>
  <c r="D12" i="63"/>
  <c r="D17" i="63" s="1"/>
  <c r="C12" i="63"/>
  <c r="D8" i="63"/>
  <c r="C8" i="63"/>
  <c r="C6" i="63"/>
  <c r="Z31" i="62"/>
  <c r="X16" i="62"/>
  <c r="C17" i="63" l="1"/>
  <c r="C9" i="59"/>
  <c r="D9" i="59"/>
  <c r="E9" i="59"/>
  <c r="B9" i="59"/>
  <c r="D78" i="59"/>
  <c r="D27" i="59"/>
  <c r="E27" i="59"/>
  <c r="B27" i="59"/>
  <c r="E31" i="59"/>
  <c r="C59" i="59"/>
  <c r="D59" i="59"/>
  <c r="E59" i="59"/>
  <c r="B59" i="59"/>
  <c r="C49" i="59"/>
  <c r="D49" i="59"/>
  <c r="E49" i="59"/>
  <c r="B49" i="59"/>
  <c r="B81" i="59"/>
  <c r="B44" i="59"/>
  <c r="B48" i="59" s="1"/>
  <c r="B41" i="59"/>
  <c r="C37" i="59"/>
  <c r="D37" i="59"/>
  <c r="E37" i="59"/>
  <c r="B31" i="59"/>
  <c r="B37" i="59"/>
  <c r="F38" i="59"/>
  <c r="B25" i="59"/>
  <c r="E39" i="59" l="1"/>
  <c r="B39" i="59"/>
  <c r="F37" i="59"/>
  <c r="D11" i="57" l="1"/>
  <c r="E11" i="57"/>
  <c r="F11" i="57"/>
  <c r="D8" i="57"/>
  <c r="E8" i="57"/>
  <c r="F8" i="57"/>
  <c r="C11" i="57"/>
  <c r="G7" i="57"/>
  <c r="G9" i="57"/>
  <c r="G10" i="57"/>
  <c r="G13" i="57"/>
  <c r="G14" i="57"/>
  <c r="G15" i="57"/>
  <c r="G16" i="57"/>
  <c r="G17" i="57"/>
  <c r="G18" i="57"/>
  <c r="G21" i="57"/>
  <c r="G23" i="57"/>
  <c r="C8" i="57"/>
  <c r="G6" i="57"/>
  <c r="D27" i="54"/>
  <c r="I27" i="54" s="1"/>
  <c r="I25" i="54"/>
  <c r="I29" i="54"/>
  <c r="I30" i="54"/>
  <c r="I31" i="54"/>
  <c r="D28" i="54"/>
  <c r="I28" i="54" s="1"/>
  <c r="I21" i="54"/>
  <c r="I22" i="54"/>
  <c r="I18" i="54"/>
  <c r="I19" i="54"/>
  <c r="I17" i="54"/>
  <c r="I13" i="54"/>
  <c r="I14" i="54"/>
  <c r="I9" i="54"/>
  <c r="I10" i="54"/>
  <c r="I11" i="54"/>
  <c r="D24" i="54"/>
  <c r="I24" i="54" s="1"/>
  <c r="A16" i="54"/>
  <c r="A20" i="54" s="1"/>
  <c r="A24" i="54" s="1"/>
  <c r="A28" i="54" s="1"/>
  <c r="G8" i="57" l="1"/>
  <c r="G11" i="57"/>
  <c r="D12" i="53" l="1"/>
  <c r="C138" i="2"/>
  <c r="E138" i="2" s="1"/>
  <c r="G777" i="50"/>
  <c r="F777" i="50"/>
  <c r="C112" i="2" s="1"/>
  <c r="G776" i="50"/>
  <c r="D111" i="2" s="1"/>
  <c r="D103" i="2" s="1"/>
  <c r="D94" i="2" s="1"/>
  <c r="F776" i="50"/>
  <c r="G747" i="50"/>
  <c r="D70" i="2" s="1"/>
  <c r="E70" i="2" s="1"/>
  <c r="G748" i="50"/>
  <c r="G746" i="50"/>
  <c r="F676" i="50"/>
  <c r="C66" i="2" s="1"/>
  <c r="E66" i="2" s="1"/>
  <c r="F677" i="50"/>
  <c r="C67" i="2" s="1"/>
  <c r="E67" i="2" s="1"/>
  <c r="F675" i="50"/>
  <c r="C65" i="2" s="1"/>
  <c r="E65" i="2" s="1"/>
  <c r="G657" i="50"/>
  <c r="G645" i="50" s="1"/>
  <c r="D63" i="2" s="1"/>
  <c r="G655" i="50"/>
  <c r="G643" i="50" s="1"/>
  <c r="D61" i="2" s="1"/>
  <c r="H661" i="50"/>
  <c r="H659" i="50"/>
  <c r="G660" i="50"/>
  <c r="F660" i="50" s="1"/>
  <c r="F656" i="50" s="1"/>
  <c r="F657" i="50"/>
  <c r="F645" i="50" s="1"/>
  <c r="C63" i="2" s="1"/>
  <c r="E63" i="2" s="1"/>
  <c r="F655" i="50"/>
  <c r="H655" i="50" s="1"/>
  <c r="H631" i="50"/>
  <c r="H632" i="50"/>
  <c r="H23" i="54" s="1"/>
  <c r="I23" i="54" s="1"/>
  <c r="H633" i="50"/>
  <c r="H15" i="54" s="1"/>
  <c r="I15" i="54" s="1"/>
  <c r="H634" i="50"/>
  <c r="H635" i="50"/>
  <c r="H636" i="50"/>
  <c r="H638" i="50"/>
  <c r="H639" i="50"/>
  <c r="H640" i="50"/>
  <c r="H641" i="50"/>
  <c r="H630" i="50"/>
  <c r="G628" i="50"/>
  <c r="G627" i="50"/>
  <c r="G626" i="50"/>
  <c r="F627" i="50"/>
  <c r="F628" i="50"/>
  <c r="F626" i="50"/>
  <c r="H622" i="50"/>
  <c r="H623" i="50"/>
  <c r="H624" i="50"/>
  <c r="H619" i="50"/>
  <c r="H620" i="50"/>
  <c r="H618" i="50"/>
  <c r="G616" i="50"/>
  <c r="G615" i="50"/>
  <c r="F615" i="50"/>
  <c r="F616" i="50"/>
  <c r="G614" i="50"/>
  <c r="F614" i="50"/>
  <c r="F588" i="50"/>
  <c r="H588" i="50" s="1"/>
  <c r="F586" i="50"/>
  <c r="H586" i="50" s="1"/>
  <c r="H606" i="50"/>
  <c r="H607" i="50"/>
  <c r="H608" i="50"/>
  <c r="H591" i="50"/>
  <c r="F599" i="50"/>
  <c r="H570" i="50"/>
  <c r="H571" i="50"/>
  <c r="H572" i="50"/>
  <c r="H574" i="50"/>
  <c r="H575" i="50"/>
  <c r="H576" i="50"/>
  <c r="H578" i="50"/>
  <c r="H579" i="50"/>
  <c r="H580" i="50"/>
  <c r="H582" i="50"/>
  <c r="H583" i="50"/>
  <c r="H584" i="50"/>
  <c r="H590" i="50"/>
  <c r="H592" i="50"/>
  <c r="H593" i="50"/>
  <c r="H594" i="50"/>
  <c r="H596" i="50"/>
  <c r="H597" i="50"/>
  <c r="H598" i="50"/>
  <c r="H599" i="50"/>
  <c r="H600" i="50"/>
  <c r="H601" i="50"/>
  <c r="H602" i="50"/>
  <c r="H603" i="50"/>
  <c r="H604" i="50"/>
  <c r="F542" i="50"/>
  <c r="G544" i="50"/>
  <c r="G543" i="50"/>
  <c r="F543" i="50"/>
  <c r="F544" i="50"/>
  <c r="H546" i="50"/>
  <c r="H547" i="50"/>
  <c r="H548" i="50"/>
  <c r="H550" i="50"/>
  <c r="H551" i="50"/>
  <c r="H552" i="50"/>
  <c r="H554" i="50"/>
  <c r="H555" i="50"/>
  <c r="H556" i="50"/>
  <c r="H558" i="50"/>
  <c r="H559" i="50"/>
  <c r="H560" i="50"/>
  <c r="H562" i="50"/>
  <c r="H563" i="50"/>
  <c r="H564" i="50"/>
  <c r="H566" i="50"/>
  <c r="H567" i="50"/>
  <c r="H568" i="50"/>
  <c r="G542" i="50"/>
  <c r="F274" i="50"/>
  <c r="H274" i="50" s="1"/>
  <c r="F291" i="50"/>
  <c r="F287" i="50" s="1"/>
  <c r="H287" i="50" s="1"/>
  <c r="F75" i="50"/>
  <c r="F315" i="50"/>
  <c r="H315" i="50" s="1"/>
  <c r="D47" i="32"/>
  <c r="D46" i="32"/>
  <c r="D42" i="32"/>
  <c r="E48" i="32"/>
  <c r="F48" i="32"/>
  <c r="G48" i="32"/>
  <c r="H48" i="32"/>
  <c r="I48" i="32"/>
  <c r="L48" i="32"/>
  <c r="E47" i="32"/>
  <c r="F47" i="32"/>
  <c r="G47" i="32"/>
  <c r="H47" i="32"/>
  <c r="I47" i="32"/>
  <c r="J47" i="32"/>
  <c r="L47" i="32"/>
  <c r="M47" i="32"/>
  <c r="E46" i="32"/>
  <c r="F46" i="32"/>
  <c r="G46" i="32"/>
  <c r="H46" i="32"/>
  <c r="I46" i="32"/>
  <c r="J46" i="32"/>
  <c r="L46" i="32"/>
  <c r="M46" i="32"/>
  <c r="G427" i="50"/>
  <c r="G415" i="50" s="1"/>
  <c r="G426" i="50"/>
  <c r="F426" i="50"/>
  <c r="F427" i="50"/>
  <c r="G425" i="50"/>
  <c r="G413" i="50" s="1"/>
  <c r="F425" i="50"/>
  <c r="F413" i="50" s="1"/>
  <c r="G423" i="50"/>
  <c r="G531" i="50" s="1"/>
  <c r="G422" i="50"/>
  <c r="G530" i="50" s="1"/>
  <c r="F422" i="50"/>
  <c r="F410" i="50" s="1"/>
  <c r="F423" i="50"/>
  <c r="F411" i="50" s="1"/>
  <c r="G421" i="50"/>
  <c r="F421" i="50"/>
  <c r="F409" i="50" s="1"/>
  <c r="H420" i="50"/>
  <c r="H424" i="50"/>
  <c r="E44" i="32"/>
  <c r="F44" i="32"/>
  <c r="G44" i="32"/>
  <c r="H44" i="32"/>
  <c r="I44" i="32"/>
  <c r="L44" i="32"/>
  <c r="M44" i="32"/>
  <c r="E43" i="32"/>
  <c r="F43" i="32"/>
  <c r="G43" i="32"/>
  <c r="H43" i="32"/>
  <c r="H39" i="32" s="1"/>
  <c r="I43" i="32"/>
  <c r="J43" i="32"/>
  <c r="L43" i="32"/>
  <c r="L39" i="32" s="1"/>
  <c r="M43" i="32"/>
  <c r="M39" i="32" s="1"/>
  <c r="D43" i="32"/>
  <c r="D39" i="32" s="1"/>
  <c r="E42" i="32"/>
  <c r="F42" i="32"/>
  <c r="G42" i="32"/>
  <c r="H42" i="32"/>
  <c r="I42" i="32"/>
  <c r="J42" i="32"/>
  <c r="L42" i="32"/>
  <c r="M42" i="32"/>
  <c r="D32" i="32"/>
  <c r="D48" i="32" s="1"/>
  <c r="D28" i="32"/>
  <c r="F387" i="50"/>
  <c r="F382" i="50" s="1"/>
  <c r="F103" i="50"/>
  <c r="F95" i="50" s="1"/>
  <c r="F343" i="50"/>
  <c r="H343" i="50" s="1"/>
  <c r="F243" i="50"/>
  <c r="F239" i="50" s="1"/>
  <c r="H239" i="50" s="1"/>
  <c r="G174" i="50"/>
  <c r="G175" i="50"/>
  <c r="F174" i="50"/>
  <c r="H174" i="50" s="1"/>
  <c r="F175" i="50"/>
  <c r="H175" i="50" s="1"/>
  <c r="G173" i="50"/>
  <c r="F173" i="50"/>
  <c r="H173" i="50" s="1"/>
  <c r="G170" i="50"/>
  <c r="G171" i="50"/>
  <c r="F170" i="50"/>
  <c r="H170" i="50" s="1"/>
  <c r="F171" i="50"/>
  <c r="G169" i="50"/>
  <c r="F169" i="50"/>
  <c r="G178" i="50"/>
  <c r="G179" i="50"/>
  <c r="F178" i="50"/>
  <c r="H178" i="50" s="1"/>
  <c r="F179" i="50"/>
  <c r="H179" i="50" s="1"/>
  <c r="G177" i="50"/>
  <c r="F177" i="50"/>
  <c r="H177" i="50" s="1"/>
  <c r="G190" i="50"/>
  <c r="G191" i="50"/>
  <c r="F190" i="50"/>
  <c r="H190" i="50" s="1"/>
  <c r="F191" i="50"/>
  <c r="H191" i="50" s="1"/>
  <c r="G189" i="50"/>
  <c r="F189" i="50"/>
  <c r="H189" i="50" s="1"/>
  <c r="G202" i="50"/>
  <c r="G203" i="50"/>
  <c r="G201" i="50"/>
  <c r="F202" i="50"/>
  <c r="H202" i="50" s="1"/>
  <c r="F203" i="50"/>
  <c r="H203" i="50" s="1"/>
  <c r="F201" i="50"/>
  <c r="H201" i="50" s="1"/>
  <c r="H181" i="50"/>
  <c r="H182" i="50"/>
  <c r="H183" i="50"/>
  <c r="H185" i="50"/>
  <c r="H186" i="50"/>
  <c r="H187" i="50"/>
  <c r="H193" i="50"/>
  <c r="H194" i="50"/>
  <c r="H195" i="50"/>
  <c r="H197" i="50"/>
  <c r="H198" i="50"/>
  <c r="H199" i="50"/>
  <c r="H205" i="50"/>
  <c r="H206" i="50"/>
  <c r="H207" i="50"/>
  <c r="H209" i="50"/>
  <c r="H210" i="50"/>
  <c r="H211" i="50"/>
  <c r="E24" i="32"/>
  <c r="F24" i="32"/>
  <c r="G24" i="32"/>
  <c r="H24" i="32"/>
  <c r="I24" i="32"/>
  <c r="L24" i="32"/>
  <c r="M24" i="32"/>
  <c r="E23" i="32"/>
  <c r="F23" i="32"/>
  <c r="G23" i="32"/>
  <c r="H23" i="32"/>
  <c r="I23" i="32"/>
  <c r="J23" i="32"/>
  <c r="L23" i="32"/>
  <c r="D23" i="32"/>
  <c r="E22" i="32"/>
  <c r="F22" i="32"/>
  <c r="G22" i="32"/>
  <c r="H22" i="32"/>
  <c r="I22" i="32"/>
  <c r="J22" i="32"/>
  <c r="L22" i="32"/>
  <c r="M22" i="32"/>
  <c r="D22" i="32"/>
  <c r="E12" i="32"/>
  <c r="F12" i="32"/>
  <c r="G12" i="32"/>
  <c r="H12" i="32"/>
  <c r="I12" i="32"/>
  <c r="J12" i="32"/>
  <c r="L12" i="32"/>
  <c r="M12" i="32"/>
  <c r="E11" i="32"/>
  <c r="F11" i="32"/>
  <c r="G11" i="32"/>
  <c r="H11" i="32"/>
  <c r="I11" i="32"/>
  <c r="L11" i="32"/>
  <c r="M11" i="32"/>
  <c r="D11" i="32"/>
  <c r="D12" i="32"/>
  <c r="E10" i="32"/>
  <c r="F10" i="32"/>
  <c r="G10" i="32"/>
  <c r="H10" i="32"/>
  <c r="I10" i="32"/>
  <c r="J10" i="32"/>
  <c r="K10" i="32"/>
  <c r="L10" i="32"/>
  <c r="M10" i="32"/>
  <c r="D10" i="32"/>
  <c r="N14" i="32"/>
  <c r="N15" i="32"/>
  <c r="N16" i="32"/>
  <c r="N17" i="32"/>
  <c r="N18" i="32"/>
  <c r="N19" i="32"/>
  <c r="N20" i="32"/>
  <c r="N34" i="32"/>
  <c r="N35" i="32"/>
  <c r="N36" i="32"/>
  <c r="G346" i="50"/>
  <c r="G347" i="50"/>
  <c r="F346" i="50"/>
  <c r="F347" i="50"/>
  <c r="H347" i="50" s="1"/>
  <c r="G345" i="50"/>
  <c r="F345" i="50"/>
  <c r="H345" i="50" s="1"/>
  <c r="G334" i="50"/>
  <c r="G335" i="50"/>
  <c r="F334" i="50"/>
  <c r="H334" i="50" s="1"/>
  <c r="G333" i="50"/>
  <c r="F333" i="50"/>
  <c r="H333" i="50" s="1"/>
  <c r="G322" i="50"/>
  <c r="G323" i="50"/>
  <c r="F322" i="50"/>
  <c r="H322" i="50" s="1"/>
  <c r="F323" i="50"/>
  <c r="G321" i="50"/>
  <c r="F321" i="50"/>
  <c r="H321" i="50" s="1"/>
  <c r="H323" i="50"/>
  <c r="H325" i="50"/>
  <c r="H326" i="50"/>
  <c r="H327" i="50"/>
  <c r="H329" i="50"/>
  <c r="H330" i="50"/>
  <c r="H331" i="50"/>
  <c r="H337" i="50"/>
  <c r="H338" i="50"/>
  <c r="H339" i="50"/>
  <c r="H341" i="50"/>
  <c r="H342" i="50"/>
  <c r="H346" i="50"/>
  <c r="H349" i="50"/>
  <c r="H350" i="50"/>
  <c r="H351" i="50"/>
  <c r="H353" i="50"/>
  <c r="H354" i="50"/>
  <c r="H355" i="50"/>
  <c r="F318" i="50"/>
  <c r="H318" i="50" s="1"/>
  <c r="G318" i="50"/>
  <c r="G319" i="50"/>
  <c r="G317" i="50"/>
  <c r="F317" i="50"/>
  <c r="H317" i="50" s="1"/>
  <c r="G314" i="50"/>
  <c r="G310" i="50" s="1"/>
  <c r="G315" i="50"/>
  <c r="G313" i="50"/>
  <c r="G309" i="50" s="1"/>
  <c r="F314" i="50"/>
  <c r="H314" i="50" s="1"/>
  <c r="F313" i="50"/>
  <c r="H313" i="50" s="1"/>
  <c r="G298" i="50"/>
  <c r="G299" i="50"/>
  <c r="F298" i="50"/>
  <c r="H298" i="50" s="1"/>
  <c r="F299" i="50"/>
  <c r="H299" i="50" s="1"/>
  <c r="G297" i="50"/>
  <c r="F297" i="50"/>
  <c r="H297" i="50" s="1"/>
  <c r="F286" i="50"/>
  <c r="H286" i="50" s="1"/>
  <c r="G286" i="50"/>
  <c r="G287" i="50"/>
  <c r="G285" i="50"/>
  <c r="F285" i="50"/>
  <c r="H285" i="50" s="1"/>
  <c r="H277" i="50"/>
  <c r="H278" i="50"/>
  <c r="H279" i="50"/>
  <c r="H281" i="50"/>
  <c r="H282" i="50"/>
  <c r="H283" i="50"/>
  <c r="H289" i="50"/>
  <c r="H290" i="50"/>
  <c r="H293" i="50"/>
  <c r="H294" i="50"/>
  <c r="H295" i="50"/>
  <c r="H301" i="50"/>
  <c r="H302" i="50"/>
  <c r="H303" i="50"/>
  <c r="H305" i="50"/>
  <c r="H306" i="50"/>
  <c r="H307" i="50"/>
  <c r="G274" i="50"/>
  <c r="G275" i="50"/>
  <c r="G273" i="50"/>
  <c r="F275" i="50"/>
  <c r="H275" i="50" s="1"/>
  <c r="F273" i="50"/>
  <c r="H273" i="50" s="1"/>
  <c r="G270" i="50"/>
  <c r="G271" i="50"/>
  <c r="F269" i="50"/>
  <c r="H269" i="50" s="1"/>
  <c r="G269" i="50"/>
  <c r="F270" i="50"/>
  <c r="F271" i="50"/>
  <c r="H271" i="50" s="1"/>
  <c r="F266" i="50"/>
  <c r="H266" i="50" s="1"/>
  <c r="G266" i="50"/>
  <c r="G267" i="50"/>
  <c r="G265" i="50"/>
  <c r="F265" i="50"/>
  <c r="H265" i="50" s="1"/>
  <c r="G154" i="50"/>
  <c r="G155" i="50"/>
  <c r="G123" i="50" s="1"/>
  <c r="F154" i="50"/>
  <c r="F122" i="50" s="1"/>
  <c r="F155" i="50"/>
  <c r="G153" i="50"/>
  <c r="G121" i="50" s="1"/>
  <c r="F153" i="50"/>
  <c r="F121" i="50" s="1"/>
  <c r="G142" i="50"/>
  <c r="G143" i="50"/>
  <c r="F142" i="50"/>
  <c r="F143" i="50"/>
  <c r="G141" i="50"/>
  <c r="F141" i="50"/>
  <c r="G130" i="50"/>
  <c r="G131" i="50"/>
  <c r="G129" i="50"/>
  <c r="F130" i="50"/>
  <c r="F131" i="50"/>
  <c r="F129" i="50"/>
  <c r="G126" i="50"/>
  <c r="G127" i="50"/>
  <c r="G125" i="50"/>
  <c r="F126" i="50"/>
  <c r="F127" i="50"/>
  <c r="F125" i="50"/>
  <c r="G122" i="50"/>
  <c r="H120" i="50"/>
  <c r="H124" i="50"/>
  <c r="H132" i="50"/>
  <c r="H133" i="50"/>
  <c r="H134" i="50"/>
  <c r="H135" i="50"/>
  <c r="H136" i="50"/>
  <c r="H137" i="50"/>
  <c r="H138" i="50"/>
  <c r="H139" i="50"/>
  <c r="H144" i="50"/>
  <c r="H145" i="50"/>
  <c r="H146" i="50"/>
  <c r="H147" i="50"/>
  <c r="H148" i="50"/>
  <c r="H149" i="50"/>
  <c r="H150" i="50"/>
  <c r="H151" i="50"/>
  <c r="H156" i="50"/>
  <c r="H157" i="50"/>
  <c r="H158" i="50"/>
  <c r="H159" i="50"/>
  <c r="H160" i="50"/>
  <c r="H161" i="50"/>
  <c r="H162" i="50"/>
  <c r="H163" i="50"/>
  <c r="H834" i="50"/>
  <c r="H828" i="50"/>
  <c r="H827" i="50"/>
  <c r="H826" i="50"/>
  <c r="H781" i="50"/>
  <c r="H780" i="50"/>
  <c r="H779" i="50"/>
  <c r="H775" i="50"/>
  <c r="H772" i="50"/>
  <c r="H771" i="50"/>
  <c r="G768" i="50"/>
  <c r="F768" i="50"/>
  <c r="G767" i="50"/>
  <c r="F767" i="50"/>
  <c r="H765" i="50"/>
  <c r="H764" i="50"/>
  <c r="H763" i="50"/>
  <c r="H760" i="50"/>
  <c r="H759" i="50"/>
  <c r="H758" i="50"/>
  <c r="H756" i="50"/>
  <c r="H755" i="50"/>
  <c r="H754" i="50"/>
  <c r="H753" i="50"/>
  <c r="H752" i="50"/>
  <c r="H751" i="50"/>
  <c r="H744" i="50"/>
  <c r="H743" i="50"/>
  <c r="H742" i="50"/>
  <c r="H741" i="50"/>
  <c r="H740" i="50"/>
  <c r="H739" i="50"/>
  <c r="H737" i="50"/>
  <c r="H736" i="50"/>
  <c r="H735" i="50"/>
  <c r="H734" i="50"/>
  <c r="H733" i="50"/>
  <c r="H732" i="50"/>
  <c r="H730" i="50"/>
  <c r="H729" i="50"/>
  <c r="H728" i="50"/>
  <c r="H723" i="50"/>
  <c r="H722" i="50"/>
  <c r="H721" i="50"/>
  <c r="H720" i="50"/>
  <c r="H719" i="50"/>
  <c r="H718" i="50"/>
  <c r="H716" i="50"/>
  <c r="H715" i="50"/>
  <c r="H714" i="50"/>
  <c r="H713" i="50"/>
  <c r="H712" i="50"/>
  <c r="H711" i="50"/>
  <c r="H709" i="50"/>
  <c r="H708" i="50"/>
  <c r="H707" i="50"/>
  <c r="H706" i="50"/>
  <c r="H705" i="50"/>
  <c r="H704" i="50"/>
  <c r="H702" i="50"/>
  <c r="H701" i="50"/>
  <c r="H700" i="50"/>
  <c r="H699" i="50"/>
  <c r="H698" i="50"/>
  <c r="H697" i="50"/>
  <c r="H695" i="50"/>
  <c r="H694" i="50"/>
  <c r="H693" i="50"/>
  <c r="H692" i="50"/>
  <c r="H691" i="50"/>
  <c r="H690" i="50"/>
  <c r="H688" i="50"/>
  <c r="H687" i="50"/>
  <c r="H686" i="50"/>
  <c r="H681" i="50"/>
  <c r="H680" i="50"/>
  <c r="H679" i="50"/>
  <c r="H673" i="50"/>
  <c r="H672" i="50"/>
  <c r="H671" i="50"/>
  <c r="H670" i="50"/>
  <c r="H669" i="50"/>
  <c r="H668" i="50"/>
  <c r="H665" i="50"/>
  <c r="H664" i="50"/>
  <c r="H663" i="50"/>
  <c r="H653" i="50"/>
  <c r="H652" i="50"/>
  <c r="H651" i="50"/>
  <c r="G250" i="50"/>
  <c r="G251" i="50"/>
  <c r="F250" i="50"/>
  <c r="H250" i="50" s="1"/>
  <c r="F251" i="50"/>
  <c r="H251" i="50" s="1"/>
  <c r="G249" i="50"/>
  <c r="F249" i="50"/>
  <c r="H249" i="50" s="1"/>
  <c r="G239" i="50"/>
  <c r="G238" i="50"/>
  <c r="F238" i="50"/>
  <c r="H238" i="50" s="1"/>
  <c r="G237" i="50"/>
  <c r="H237" i="50" s="1"/>
  <c r="F237" i="50"/>
  <c r="F226" i="50"/>
  <c r="H226" i="50" s="1"/>
  <c r="F227" i="50"/>
  <c r="G226" i="50"/>
  <c r="G227" i="50"/>
  <c r="G225" i="50"/>
  <c r="F225" i="50"/>
  <c r="H225" i="50" s="1"/>
  <c r="F222" i="50"/>
  <c r="H222" i="50" s="1"/>
  <c r="F223" i="50"/>
  <c r="H223" i="50" s="1"/>
  <c r="G222" i="50"/>
  <c r="G223" i="50"/>
  <c r="G221" i="50"/>
  <c r="F221" i="50"/>
  <c r="H221" i="50" s="1"/>
  <c r="G219" i="50"/>
  <c r="G218" i="50"/>
  <c r="G217" i="50"/>
  <c r="G213" i="50" s="1"/>
  <c r="F218" i="50"/>
  <c r="F217" i="50"/>
  <c r="H217" i="50" s="1"/>
  <c r="H227" i="50"/>
  <c r="H229" i="50"/>
  <c r="H230" i="50"/>
  <c r="H231" i="50"/>
  <c r="H233" i="50"/>
  <c r="H234" i="50"/>
  <c r="H235" i="50"/>
  <c r="H241" i="50"/>
  <c r="H242" i="50"/>
  <c r="H244" i="50"/>
  <c r="H245" i="50"/>
  <c r="H246" i="50"/>
  <c r="H247" i="50"/>
  <c r="H253" i="50"/>
  <c r="H254" i="50"/>
  <c r="H255" i="50"/>
  <c r="H257" i="50"/>
  <c r="H258" i="50"/>
  <c r="H259" i="50"/>
  <c r="G107" i="50"/>
  <c r="G106" i="50"/>
  <c r="F106" i="50"/>
  <c r="F107" i="50"/>
  <c r="G105" i="50"/>
  <c r="F105" i="50"/>
  <c r="G94" i="50"/>
  <c r="G95" i="50"/>
  <c r="F94" i="50"/>
  <c r="G93" i="50"/>
  <c r="F93" i="50"/>
  <c r="G83" i="50"/>
  <c r="G82" i="50"/>
  <c r="F82" i="50"/>
  <c r="F83" i="50"/>
  <c r="G81" i="50"/>
  <c r="F81" i="50"/>
  <c r="H84" i="50"/>
  <c r="H85" i="50"/>
  <c r="H86" i="50"/>
  <c r="H87" i="50"/>
  <c r="H88" i="50"/>
  <c r="H89" i="50"/>
  <c r="H90" i="50"/>
  <c r="H91" i="50"/>
  <c r="H92" i="50"/>
  <c r="H96" i="50"/>
  <c r="H97" i="50"/>
  <c r="H98" i="50"/>
  <c r="H99" i="50"/>
  <c r="H100" i="50"/>
  <c r="H101" i="50"/>
  <c r="H102" i="50"/>
  <c r="H108" i="50"/>
  <c r="H109" i="50"/>
  <c r="H110" i="50"/>
  <c r="H111" i="50"/>
  <c r="H112" i="50"/>
  <c r="H113" i="50"/>
  <c r="H114" i="50"/>
  <c r="H115" i="50"/>
  <c r="G79" i="50"/>
  <c r="G78" i="50"/>
  <c r="F78" i="50"/>
  <c r="G77" i="50"/>
  <c r="F77" i="50"/>
  <c r="G74" i="50"/>
  <c r="G70" i="50" s="1"/>
  <c r="G75" i="50"/>
  <c r="F74" i="50"/>
  <c r="G73" i="50"/>
  <c r="F73" i="50"/>
  <c r="H34" i="50"/>
  <c r="H35" i="50"/>
  <c r="H36" i="50"/>
  <c r="H37" i="50"/>
  <c r="H38" i="50"/>
  <c r="H39" i="50"/>
  <c r="H40" i="50"/>
  <c r="H41" i="50"/>
  <c r="H42" i="50"/>
  <c r="H43" i="50"/>
  <c r="H45" i="50"/>
  <c r="H46" i="50"/>
  <c r="H47" i="50"/>
  <c r="H48" i="50"/>
  <c r="H49" i="50"/>
  <c r="H50" i="50"/>
  <c r="H51" i="50"/>
  <c r="H52" i="50"/>
  <c r="H53" i="50"/>
  <c r="H54" i="50"/>
  <c r="H55" i="50"/>
  <c r="H57" i="50"/>
  <c r="H58" i="50"/>
  <c r="H59" i="50"/>
  <c r="H60" i="50"/>
  <c r="H61" i="50"/>
  <c r="H62" i="50"/>
  <c r="H63" i="50"/>
  <c r="H64" i="50"/>
  <c r="H65" i="50"/>
  <c r="H66" i="50"/>
  <c r="H67" i="50"/>
  <c r="H33" i="50"/>
  <c r="F31" i="50"/>
  <c r="F414" i="50"/>
  <c r="G410" i="50"/>
  <c r="G454" i="50"/>
  <c r="G455" i="50"/>
  <c r="F454" i="50"/>
  <c r="F455" i="50"/>
  <c r="G453" i="50"/>
  <c r="F453" i="50"/>
  <c r="F443" i="50"/>
  <c r="G443" i="50"/>
  <c r="G442" i="50"/>
  <c r="F442" i="50"/>
  <c r="G441" i="50"/>
  <c r="F441" i="50"/>
  <c r="G430" i="50"/>
  <c r="G431" i="50"/>
  <c r="F430" i="50"/>
  <c r="F431" i="50"/>
  <c r="G429" i="50"/>
  <c r="F429" i="50"/>
  <c r="H432" i="50"/>
  <c r="H433" i="50"/>
  <c r="H434" i="50"/>
  <c r="H435" i="50"/>
  <c r="H436" i="50"/>
  <c r="H437" i="50"/>
  <c r="H438" i="50"/>
  <c r="H439" i="50"/>
  <c r="H444" i="50"/>
  <c r="H445" i="50"/>
  <c r="H446" i="50"/>
  <c r="H447" i="50"/>
  <c r="H448" i="50"/>
  <c r="H449" i="50"/>
  <c r="H450" i="50"/>
  <c r="H451" i="50"/>
  <c r="H456" i="50"/>
  <c r="H457" i="50"/>
  <c r="H458" i="50"/>
  <c r="H459" i="50"/>
  <c r="H460" i="50"/>
  <c r="H461" i="50"/>
  <c r="H462" i="50"/>
  <c r="H463" i="50"/>
  <c r="F394" i="50"/>
  <c r="F395" i="50"/>
  <c r="G394" i="50"/>
  <c r="G395" i="50"/>
  <c r="G393" i="50"/>
  <c r="F393" i="50"/>
  <c r="F381" i="50"/>
  <c r="G381" i="50"/>
  <c r="G382" i="50"/>
  <c r="G380" i="50"/>
  <c r="F380" i="50"/>
  <c r="H372" i="50"/>
  <c r="H373" i="50"/>
  <c r="H374" i="50"/>
  <c r="H375" i="50"/>
  <c r="H376" i="50"/>
  <c r="H377" i="50"/>
  <c r="H378" i="50"/>
  <c r="H379" i="50"/>
  <c r="H383" i="50"/>
  <c r="H384" i="50"/>
  <c r="H385" i="50"/>
  <c r="H386" i="50"/>
  <c r="H388" i="50"/>
  <c r="H389" i="50"/>
  <c r="H390" i="50"/>
  <c r="H391" i="50"/>
  <c r="H396" i="50"/>
  <c r="H397" i="50"/>
  <c r="H398" i="50"/>
  <c r="H399" i="50"/>
  <c r="H400" i="50"/>
  <c r="H401" i="50"/>
  <c r="H402" i="50"/>
  <c r="G371" i="50"/>
  <c r="G370" i="50"/>
  <c r="G369" i="50"/>
  <c r="F370" i="50"/>
  <c r="F371" i="50"/>
  <c r="H371" i="50" s="1"/>
  <c r="F369" i="50"/>
  <c r="G366" i="50"/>
  <c r="G367" i="50"/>
  <c r="F366" i="50"/>
  <c r="F367" i="50"/>
  <c r="G365" i="50"/>
  <c r="F365" i="50"/>
  <c r="G363" i="50"/>
  <c r="G362" i="50"/>
  <c r="G361" i="50"/>
  <c r="F362" i="50"/>
  <c r="F361" i="50"/>
  <c r="H356" i="50"/>
  <c r="G30" i="50"/>
  <c r="G31" i="50"/>
  <c r="G29" i="50"/>
  <c r="F30" i="50"/>
  <c r="F29" i="50"/>
  <c r="G27" i="50"/>
  <c r="G26" i="50"/>
  <c r="G25" i="50"/>
  <c r="F27" i="50"/>
  <c r="F26" i="50"/>
  <c r="F25" i="50"/>
  <c r="F514" i="50"/>
  <c r="F515" i="50"/>
  <c r="G514" i="50"/>
  <c r="G515" i="50"/>
  <c r="G513" i="50"/>
  <c r="F513" i="50"/>
  <c r="G502" i="50"/>
  <c r="G503" i="50"/>
  <c r="G501" i="50"/>
  <c r="F502" i="50"/>
  <c r="F503" i="50"/>
  <c r="F501" i="50"/>
  <c r="G491" i="50"/>
  <c r="G490" i="50"/>
  <c r="F490" i="50"/>
  <c r="F491" i="50"/>
  <c r="G489" i="50"/>
  <c r="F489" i="50"/>
  <c r="G487" i="50"/>
  <c r="G475" i="50" s="1"/>
  <c r="G486" i="50"/>
  <c r="G474" i="50" s="1"/>
  <c r="F486" i="50"/>
  <c r="F474" i="50" s="1"/>
  <c r="F487" i="50"/>
  <c r="F475" i="50" s="1"/>
  <c r="G485" i="50"/>
  <c r="G473" i="50" s="1"/>
  <c r="F485" i="50"/>
  <c r="F473" i="50" s="1"/>
  <c r="G483" i="50"/>
  <c r="G482" i="50"/>
  <c r="G481" i="50"/>
  <c r="G477" i="50" s="1"/>
  <c r="F482" i="50"/>
  <c r="F470" i="50" s="1"/>
  <c r="F483" i="50"/>
  <c r="F481" i="50"/>
  <c r="H492" i="50"/>
  <c r="H493" i="50"/>
  <c r="H494" i="50"/>
  <c r="H495" i="50"/>
  <c r="H496" i="50"/>
  <c r="H497" i="50"/>
  <c r="H498" i="50"/>
  <c r="H499" i="50"/>
  <c r="H505" i="50"/>
  <c r="H506" i="50"/>
  <c r="H507" i="50"/>
  <c r="H508" i="50"/>
  <c r="H509" i="50"/>
  <c r="H510" i="50"/>
  <c r="H511" i="50"/>
  <c r="H516" i="50"/>
  <c r="H517" i="50"/>
  <c r="H518" i="50"/>
  <c r="H519" i="50"/>
  <c r="H520" i="50"/>
  <c r="H521" i="50"/>
  <c r="H522" i="50"/>
  <c r="H523" i="50"/>
  <c r="G12" i="66"/>
  <c r="Z43" i="62"/>
  <c r="AB42" i="62"/>
  <c r="AA41" i="62"/>
  <c r="Y41" i="62"/>
  <c r="Y43" i="62" s="1"/>
  <c r="X41" i="62"/>
  <c r="X43" i="62" s="1"/>
  <c r="AB40" i="62"/>
  <c r="AB39" i="62"/>
  <c r="AA36" i="62"/>
  <c r="Z36" i="62"/>
  <c r="Z37" i="62" s="1"/>
  <c r="Y36" i="62"/>
  <c r="X36" i="62"/>
  <c r="AB35" i="62"/>
  <c r="AB34" i="62"/>
  <c r="AB33" i="62"/>
  <c r="AB32" i="62"/>
  <c r="AA31" i="62"/>
  <c r="AA37" i="62" s="1"/>
  <c r="Y31" i="62"/>
  <c r="X31" i="62"/>
  <c r="AB30" i="62"/>
  <c r="AB29" i="62"/>
  <c r="AB28" i="62"/>
  <c r="AB26" i="62"/>
  <c r="AB25" i="62"/>
  <c r="AA24" i="62"/>
  <c r="Z24" i="62"/>
  <c r="Y24" i="62"/>
  <c r="X24" i="62"/>
  <c r="AB23" i="62"/>
  <c r="AB22" i="62"/>
  <c r="AB21" i="62"/>
  <c r="AA20" i="62"/>
  <c r="Z20" i="62"/>
  <c r="Y20" i="62"/>
  <c r="X20" i="62"/>
  <c r="AB19" i="62"/>
  <c r="AB18" i="62"/>
  <c r="AB17" i="62"/>
  <c r="AA16" i="62"/>
  <c r="Z16" i="62"/>
  <c r="Y16" i="62"/>
  <c r="AB15" i="62"/>
  <c r="AB13" i="62"/>
  <c r="AB12" i="62"/>
  <c r="AA11" i="62"/>
  <c r="Z11" i="62"/>
  <c r="Y11" i="62"/>
  <c r="X11" i="62"/>
  <c r="AB10" i="62"/>
  <c r="AB9" i="62"/>
  <c r="AA8" i="62"/>
  <c r="Z8" i="62"/>
  <c r="Y8" i="62"/>
  <c r="X8" i="62"/>
  <c r="AB7" i="62"/>
  <c r="AB6" i="62"/>
  <c r="AB5" i="62"/>
  <c r="E90" i="59"/>
  <c r="D90" i="59"/>
  <c r="C90" i="59"/>
  <c r="B90" i="59"/>
  <c r="F89" i="59"/>
  <c r="F88" i="59"/>
  <c r="E86" i="59"/>
  <c r="D86" i="59"/>
  <c r="D87" i="59" s="1"/>
  <c r="C86" i="59"/>
  <c r="B86" i="59"/>
  <c r="F85" i="59"/>
  <c r="F84" i="59"/>
  <c r="B83" i="59"/>
  <c r="F82" i="59"/>
  <c r="E81" i="59"/>
  <c r="C81" i="59"/>
  <c r="F80" i="59"/>
  <c r="E79" i="59"/>
  <c r="F79" i="59" s="1"/>
  <c r="E78" i="59"/>
  <c r="C78" i="59"/>
  <c r="B78" i="59"/>
  <c r="F77" i="59"/>
  <c r="F76" i="59"/>
  <c r="F75" i="59"/>
  <c r="B74" i="59"/>
  <c r="F73" i="59"/>
  <c r="F72" i="59"/>
  <c r="B71" i="59"/>
  <c r="E70" i="59"/>
  <c r="E71" i="59" s="1"/>
  <c r="D70" i="59"/>
  <c r="D71" i="59" s="1"/>
  <c r="C70" i="59"/>
  <c r="C71" i="59" s="1"/>
  <c r="F69" i="59"/>
  <c r="E68" i="59"/>
  <c r="D68" i="59"/>
  <c r="C68" i="59"/>
  <c r="E66" i="59"/>
  <c r="D66" i="59"/>
  <c r="C66" i="59"/>
  <c r="B66" i="59"/>
  <c r="F65" i="59"/>
  <c r="E64" i="59"/>
  <c r="D63" i="59"/>
  <c r="C63" i="59"/>
  <c r="B63" i="59"/>
  <c r="F62" i="59"/>
  <c r="D61" i="59"/>
  <c r="C61" i="59"/>
  <c r="C64" i="59" s="1"/>
  <c r="B61" i="59"/>
  <c r="F60" i="59"/>
  <c r="F59" i="59"/>
  <c r="F57" i="59"/>
  <c r="E55" i="59"/>
  <c r="D55" i="59"/>
  <c r="C55" i="59"/>
  <c r="B55" i="59"/>
  <c r="B56" i="59" s="1"/>
  <c r="F54" i="59"/>
  <c r="F53" i="59"/>
  <c r="F52" i="59"/>
  <c r="F49" i="59"/>
  <c r="E48" i="59"/>
  <c r="D48" i="59"/>
  <c r="C48" i="59"/>
  <c r="F47" i="59"/>
  <c r="F45" i="59"/>
  <c r="F44" i="59"/>
  <c r="F43" i="59"/>
  <c r="F42" i="59"/>
  <c r="F41" i="59"/>
  <c r="F40" i="59"/>
  <c r="F36" i="59"/>
  <c r="F35" i="59"/>
  <c r="C34" i="59"/>
  <c r="C31" i="59" s="1"/>
  <c r="F31" i="59" s="1"/>
  <c r="F33" i="59"/>
  <c r="F32" i="59"/>
  <c r="F30" i="59"/>
  <c r="F29" i="59"/>
  <c r="C28" i="59"/>
  <c r="C27" i="59" s="1"/>
  <c r="C39" i="59" s="1"/>
  <c r="E25" i="59"/>
  <c r="D25" i="59"/>
  <c r="C25" i="59"/>
  <c r="F23" i="59"/>
  <c r="E22" i="59"/>
  <c r="D22" i="59"/>
  <c r="C22" i="59"/>
  <c r="B22" i="59"/>
  <c r="F21" i="59"/>
  <c r="E19" i="59"/>
  <c r="E20" i="59" s="1"/>
  <c r="D19" i="59"/>
  <c r="D20" i="59" s="1"/>
  <c r="C19" i="59"/>
  <c r="C20" i="59" s="1"/>
  <c r="B19" i="59"/>
  <c r="F18" i="59"/>
  <c r="B16" i="59"/>
  <c r="F16" i="59" s="1"/>
  <c r="F15" i="59"/>
  <c r="F14" i="59"/>
  <c r="E13" i="59"/>
  <c r="E17" i="59" s="1"/>
  <c r="D13" i="59"/>
  <c r="D17" i="59" s="1"/>
  <c r="C13" i="59"/>
  <c r="C17" i="59" s="1"/>
  <c r="B13" i="59"/>
  <c r="F12" i="59"/>
  <c r="F11" i="59"/>
  <c r="F10" i="59"/>
  <c r="F8" i="59"/>
  <c r="C85" i="58"/>
  <c r="E84" i="58"/>
  <c r="D84" i="58"/>
  <c r="C84" i="58"/>
  <c r="B84" i="58"/>
  <c r="F83" i="58"/>
  <c r="F82" i="58"/>
  <c r="E80" i="58"/>
  <c r="D80" i="58"/>
  <c r="C80" i="58"/>
  <c r="B80" i="58"/>
  <c r="F79" i="58"/>
  <c r="F78" i="58"/>
  <c r="D77" i="58"/>
  <c r="B77" i="58"/>
  <c r="F76" i="58"/>
  <c r="E75" i="58"/>
  <c r="C75" i="58"/>
  <c r="F74" i="58"/>
  <c r="E73" i="58"/>
  <c r="F73" i="58" s="1"/>
  <c r="E72" i="58"/>
  <c r="C72" i="58"/>
  <c r="B72" i="58"/>
  <c r="F71" i="58"/>
  <c r="F70" i="58"/>
  <c r="F69" i="58"/>
  <c r="F67" i="58"/>
  <c r="F66" i="58"/>
  <c r="B65" i="58"/>
  <c r="B68" i="58" s="1"/>
  <c r="E64" i="58"/>
  <c r="E65" i="58" s="1"/>
  <c r="D64" i="58"/>
  <c r="D65" i="58" s="1"/>
  <c r="C64" i="58"/>
  <c r="C65" i="58" s="1"/>
  <c r="F63" i="58"/>
  <c r="E62" i="58"/>
  <c r="E68" i="58" s="1"/>
  <c r="D62" i="58"/>
  <c r="C62" i="58"/>
  <c r="E60" i="58"/>
  <c r="D60" i="58"/>
  <c r="C60" i="58"/>
  <c r="B60" i="58"/>
  <c r="F59" i="58"/>
  <c r="E58" i="58"/>
  <c r="D57" i="58"/>
  <c r="C57" i="58"/>
  <c r="B57" i="58"/>
  <c r="F56" i="58"/>
  <c r="D55" i="58"/>
  <c r="C55" i="58"/>
  <c r="B55" i="58"/>
  <c r="F54" i="58"/>
  <c r="D53" i="58"/>
  <c r="D58" i="58" s="1"/>
  <c r="B53" i="58"/>
  <c r="F52" i="58"/>
  <c r="E50" i="58"/>
  <c r="D50" i="58"/>
  <c r="C50" i="58"/>
  <c r="B50" i="58"/>
  <c r="F49" i="58"/>
  <c r="F48" i="58"/>
  <c r="F47" i="58"/>
  <c r="F46" i="58"/>
  <c r="E45" i="58"/>
  <c r="C45" i="58"/>
  <c r="B45" i="58"/>
  <c r="F44" i="58"/>
  <c r="F42" i="58"/>
  <c r="D41" i="58"/>
  <c r="F41" i="58" s="1"/>
  <c r="F40" i="58"/>
  <c r="F39" i="58"/>
  <c r="F38" i="58"/>
  <c r="F37" i="58"/>
  <c r="E36" i="58"/>
  <c r="D36" i="58"/>
  <c r="C36" i="58"/>
  <c r="B36" i="58"/>
  <c r="F35" i="58"/>
  <c r="F34" i="58"/>
  <c r="E33" i="58"/>
  <c r="E26" i="58" s="1"/>
  <c r="D33" i="58"/>
  <c r="C33" i="58"/>
  <c r="F32" i="58"/>
  <c r="F31" i="58"/>
  <c r="F30" i="58"/>
  <c r="F29" i="58"/>
  <c r="F28" i="58"/>
  <c r="D27" i="58"/>
  <c r="C27" i="58"/>
  <c r="C26" i="58"/>
  <c r="E24" i="58"/>
  <c r="D24" i="58"/>
  <c r="C24" i="58"/>
  <c r="B24" i="58"/>
  <c r="F23" i="58"/>
  <c r="E22" i="58"/>
  <c r="D22" i="58"/>
  <c r="C22" i="58"/>
  <c r="B22" i="58"/>
  <c r="F21" i="58"/>
  <c r="E19" i="58"/>
  <c r="E20" i="58" s="1"/>
  <c r="D19" i="58"/>
  <c r="D20" i="58" s="1"/>
  <c r="C19" i="58"/>
  <c r="C20" i="58" s="1"/>
  <c r="B19" i="58"/>
  <c r="F18" i="58"/>
  <c r="B16" i="58"/>
  <c r="F16" i="58" s="1"/>
  <c r="F15" i="58"/>
  <c r="F14" i="58"/>
  <c r="E13" i="58"/>
  <c r="D13" i="58"/>
  <c r="C13" i="58"/>
  <c r="B13" i="58"/>
  <c r="F12" i="58"/>
  <c r="F11" i="58"/>
  <c r="F10" i="58"/>
  <c r="E9" i="58"/>
  <c r="D9" i="58"/>
  <c r="C9" i="58"/>
  <c r="B9" i="58"/>
  <c r="F8" i="58"/>
  <c r="F19" i="57"/>
  <c r="F24" i="57" s="1"/>
  <c r="E19" i="57"/>
  <c r="E24" i="57" s="1"/>
  <c r="D19" i="57"/>
  <c r="D24" i="57" s="1"/>
  <c r="C19" i="57"/>
  <c r="C12" i="57"/>
  <c r="D12" i="57"/>
  <c r="C30" i="55"/>
  <c r="H30" i="55" s="1"/>
  <c r="C29" i="55"/>
  <c r="H29" i="55" s="1"/>
  <c r="C28" i="55"/>
  <c r="H28" i="55" s="1"/>
  <c r="H7" i="55"/>
  <c r="H8" i="55"/>
  <c r="H6" i="55"/>
  <c r="G27" i="55"/>
  <c r="D27" i="55"/>
  <c r="G26" i="55"/>
  <c r="F26" i="55"/>
  <c r="E26" i="55"/>
  <c r="D26" i="55"/>
  <c r="C26" i="55"/>
  <c r="H25" i="55"/>
  <c r="H24" i="55"/>
  <c r="H23" i="55"/>
  <c r="G19" i="55"/>
  <c r="F19" i="55"/>
  <c r="E19" i="55"/>
  <c r="D19" i="55"/>
  <c r="C19" i="55"/>
  <c r="H18" i="55"/>
  <c r="H19" i="55" s="1"/>
  <c r="F9" i="55"/>
  <c r="E9" i="55"/>
  <c r="D9" i="55"/>
  <c r="G5" i="55"/>
  <c r="H5" i="55" s="1"/>
  <c r="H9" i="55" s="1"/>
  <c r="C12" i="53"/>
  <c r="B12" i="53"/>
  <c r="G9" i="55" l="1"/>
  <c r="H27" i="55"/>
  <c r="E17" i="58"/>
  <c r="D25" i="58"/>
  <c r="D26" i="58"/>
  <c r="F77" i="58"/>
  <c r="I39" i="32"/>
  <c r="E39" i="32"/>
  <c r="C17" i="58"/>
  <c r="F24" i="58"/>
  <c r="F75" i="58"/>
  <c r="B58" i="58"/>
  <c r="F58" i="58" s="1"/>
  <c r="F60" i="58"/>
  <c r="H747" i="50"/>
  <c r="F13" i="58"/>
  <c r="E25" i="58"/>
  <c r="F27" i="58"/>
  <c r="F36" i="58"/>
  <c r="F769" i="50"/>
  <c r="G39" i="32"/>
  <c r="G769" i="50"/>
  <c r="D112" i="2"/>
  <c r="D104" i="2" s="1"/>
  <c r="D95" i="2" s="1"/>
  <c r="H26" i="55"/>
  <c r="G19" i="57"/>
  <c r="C24" i="57"/>
  <c r="G24" i="57" s="1"/>
  <c r="F9" i="58"/>
  <c r="F19" i="58"/>
  <c r="B20" i="58"/>
  <c r="F20" i="58" s="1"/>
  <c r="C25" i="58"/>
  <c r="F33" i="58"/>
  <c r="E51" i="58"/>
  <c r="E43" i="58" s="1"/>
  <c r="F43" i="58" s="1"/>
  <c r="F53" i="58"/>
  <c r="F72" i="58"/>
  <c r="F84" i="58"/>
  <c r="E56" i="59"/>
  <c r="E46" i="59" s="1"/>
  <c r="F46" i="59" s="1"/>
  <c r="C87" i="59"/>
  <c r="N10" i="32"/>
  <c r="H746" i="50"/>
  <c r="D69" i="2"/>
  <c r="E69" i="2" s="1"/>
  <c r="H776" i="50"/>
  <c r="H768" i="50" s="1"/>
  <c r="C111" i="2"/>
  <c r="C58" i="58"/>
  <c r="F50" i="58"/>
  <c r="C81" i="58"/>
  <c r="E87" i="59"/>
  <c r="H748" i="50"/>
  <c r="D71" i="2"/>
  <c r="E71" i="2" s="1"/>
  <c r="F26" i="58"/>
  <c r="D17" i="58"/>
  <c r="F22" i="58"/>
  <c r="C51" i="58"/>
  <c r="F55" i="58"/>
  <c r="F57" i="58"/>
  <c r="E81" i="58"/>
  <c r="E85" i="58" s="1"/>
  <c r="D81" i="58"/>
  <c r="F80" i="58"/>
  <c r="J39" i="32"/>
  <c r="F39" i="32"/>
  <c r="C104" i="2"/>
  <c r="E112" i="2"/>
  <c r="Z27" i="62"/>
  <c r="Z38" i="62" s="1"/>
  <c r="Z44" i="62" s="1"/>
  <c r="Y27" i="62"/>
  <c r="AA27" i="62"/>
  <c r="AB31" i="62"/>
  <c r="Y37" i="62"/>
  <c r="AB41" i="62"/>
  <c r="X27" i="62"/>
  <c r="D74" i="59"/>
  <c r="D91" i="59" s="1"/>
  <c r="D68" i="58"/>
  <c r="D85" i="58" s="1"/>
  <c r="F62" i="58"/>
  <c r="C56" i="59"/>
  <c r="F25" i="59"/>
  <c r="F86" i="59"/>
  <c r="F27" i="59"/>
  <c r="D39" i="59"/>
  <c r="F39" i="59" s="1"/>
  <c r="F48" i="59"/>
  <c r="F28" i="59"/>
  <c r="F61" i="59"/>
  <c r="F13" i="59"/>
  <c r="C26" i="59"/>
  <c r="D64" i="59"/>
  <c r="F9" i="59"/>
  <c r="F34" i="59"/>
  <c r="F66" i="59"/>
  <c r="F81" i="59"/>
  <c r="D26" i="59"/>
  <c r="F19" i="59"/>
  <c r="F90" i="59"/>
  <c r="F78" i="59"/>
  <c r="F55" i="59"/>
  <c r="E26" i="59"/>
  <c r="E67" i="59" s="1"/>
  <c r="F22" i="59"/>
  <c r="B64" i="59"/>
  <c r="F68" i="59"/>
  <c r="E74" i="59"/>
  <c r="E91" i="59" s="1"/>
  <c r="B26" i="59"/>
  <c r="B20" i="59"/>
  <c r="F20" i="59" s="1"/>
  <c r="B17" i="59"/>
  <c r="H777" i="50"/>
  <c r="H615" i="50"/>
  <c r="G357" i="50"/>
  <c r="G656" i="50"/>
  <c r="G644" i="50" s="1"/>
  <c r="D62" i="2" s="1"/>
  <c r="H645" i="50"/>
  <c r="H660" i="50"/>
  <c r="H481" i="50"/>
  <c r="H126" i="50"/>
  <c r="H656" i="50"/>
  <c r="F644" i="50"/>
  <c r="C62" i="2" s="1"/>
  <c r="F643" i="50"/>
  <c r="F166" i="50"/>
  <c r="H166" i="50" s="1"/>
  <c r="H543" i="50"/>
  <c r="G14" i="50"/>
  <c r="H154" i="50"/>
  <c r="H421" i="50"/>
  <c r="H544" i="50"/>
  <c r="H540" i="50" s="1"/>
  <c r="F538" i="50"/>
  <c r="H491" i="50"/>
  <c r="H501" i="50"/>
  <c r="G418" i="50"/>
  <c r="F611" i="50"/>
  <c r="F612" i="50"/>
  <c r="H614" i="50"/>
  <c r="G414" i="50"/>
  <c r="H414" i="50" s="1"/>
  <c r="H130" i="50"/>
  <c r="F540" i="50"/>
  <c r="F610" i="50"/>
  <c r="H627" i="50"/>
  <c r="G610" i="50"/>
  <c r="G409" i="50"/>
  <c r="G405" i="50" s="1"/>
  <c r="D33" i="2" s="1"/>
  <c r="G411" i="50"/>
  <c r="G407" i="50" s="1"/>
  <c r="H103" i="50"/>
  <c r="G612" i="50"/>
  <c r="D59" i="2" s="1"/>
  <c r="D51" i="2" s="1"/>
  <c r="H628" i="50"/>
  <c r="H626" i="50"/>
  <c r="G611" i="50"/>
  <c r="H616" i="50"/>
  <c r="H431" i="50"/>
  <c r="F167" i="50"/>
  <c r="H167" i="50" s="1"/>
  <c r="G167" i="50"/>
  <c r="G419" i="50"/>
  <c r="H542" i="50"/>
  <c r="H538" i="50" s="1"/>
  <c r="H394" i="50"/>
  <c r="H443" i="50"/>
  <c r="G165" i="50"/>
  <c r="G166" i="50"/>
  <c r="G529" i="50"/>
  <c r="G19" i="50"/>
  <c r="G535" i="50" s="1"/>
  <c r="G527" i="50" s="1"/>
  <c r="H141" i="50"/>
  <c r="H155" i="50"/>
  <c r="H422" i="50"/>
  <c r="G417" i="50"/>
  <c r="F363" i="50"/>
  <c r="H122" i="50"/>
  <c r="H131" i="50"/>
  <c r="H423" i="50"/>
  <c r="H426" i="50"/>
  <c r="F23" i="50"/>
  <c r="G18" i="50"/>
  <c r="G534" i="50" s="1"/>
  <c r="G526" i="50" s="1"/>
  <c r="H153" i="50"/>
  <c r="G311" i="50"/>
  <c r="H291" i="50"/>
  <c r="G13" i="50"/>
  <c r="F418" i="50"/>
  <c r="F419" i="50"/>
  <c r="F79" i="50"/>
  <c r="H79" i="50" s="1"/>
  <c r="G262" i="50"/>
  <c r="H171" i="50"/>
  <c r="D44" i="32"/>
  <c r="F13" i="50"/>
  <c r="F529" i="50" s="1"/>
  <c r="D38" i="32"/>
  <c r="F415" i="50"/>
  <c r="F407" i="50" s="1"/>
  <c r="H427" i="50"/>
  <c r="H425" i="50"/>
  <c r="F417" i="50"/>
  <c r="D24" i="32"/>
  <c r="F267" i="50"/>
  <c r="H267" i="50" s="1"/>
  <c r="H381" i="50"/>
  <c r="F18" i="50"/>
  <c r="H363" i="50"/>
  <c r="H387" i="50"/>
  <c r="F319" i="50"/>
  <c r="H319" i="50" s="1"/>
  <c r="F335" i="50"/>
  <c r="H335" i="50" s="1"/>
  <c r="H243" i="50"/>
  <c r="F219" i="50"/>
  <c r="H219" i="50" s="1"/>
  <c r="F165" i="50"/>
  <c r="H165" i="50" s="1"/>
  <c r="H169" i="50"/>
  <c r="N11" i="32"/>
  <c r="N12" i="32"/>
  <c r="F310" i="50"/>
  <c r="H310" i="50" s="1"/>
  <c r="F309" i="50"/>
  <c r="H309" i="50" s="1"/>
  <c r="F262" i="50"/>
  <c r="H262" i="50" s="1"/>
  <c r="H483" i="50"/>
  <c r="H78" i="50"/>
  <c r="H81" i="50"/>
  <c r="H105" i="50"/>
  <c r="H489" i="50"/>
  <c r="H514" i="50"/>
  <c r="F14" i="50"/>
  <c r="F530" i="50" s="1"/>
  <c r="H676" i="50"/>
  <c r="H767" i="50"/>
  <c r="F123" i="50"/>
  <c r="H123" i="50" s="1"/>
  <c r="H129" i="50"/>
  <c r="H142" i="50"/>
  <c r="H270" i="50"/>
  <c r="G261" i="50"/>
  <c r="H121" i="50"/>
  <c r="H410" i="50"/>
  <c r="H31" i="50"/>
  <c r="G118" i="50"/>
  <c r="G119" i="50"/>
  <c r="G263" i="50"/>
  <c r="F261" i="50"/>
  <c r="H261" i="50" s="1"/>
  <c r="F118" i="50"/>
  <c r="H118" i="50" s="1"/>
  <c r="G117" i="50"/>
  <c r="H143" i="50"/>
  <c r="H127" i="50"/>
  <c r="G17" i="50"/>
  <c r="H125" i="50"/>
  <c r="F17" i="50"/>
  <c r="F117" i="50"/>
  <c r="G15" i="50"/>
  <c r="H75" i="50"/>
  <c r="H429" i="50"/>
  <c r="H442" i="50"/>
  <c r="H453" i="50"/>
  <c r="H73" i="50"/>
  <c r="H773" i="50"/>
  <c r="H482" i="50"/>
  <c r="G22" i="50"/>
  <c r="H657" i="50"/>
  <c r="F478" i="50"/>
  <c r="H486" i="50"/>
  <c r="H490" i="50"/>
  <c r="H26" i="50"/>
  <c r="G358" i="50"/>
  <c r="H369" i="50"/>
  <c r="F406" i="50"/>
  <c r="F214" i="50"/>
  <c r="H214" i="50" s="1"/>
  <c r="H485" i="50"/>
  <c r="G469" i="50"/>
  <c r="G465" i="50" s="1"/>
  <c r="H83" i="50"/>
  <c r="H94" i="50"/>
  <c r="H107" i="50"/>
  <c r="H515" i="50"/>
  <c r="H25" i="50"/>
  <c r="H430" i="50"/>
  <c r="H454" i="50"/>
  <c r="H82" i="50"/>
  <c r="H106" i="50"/>
  <c r="H218" i="50"/>
  <c r="H366" i="50"/>
  <c r="G71" i="50"/>
  <c r="G214" i="50"/>
  <c r="F358" i="50"/>
  <c r="G69" i="50"/>
  <c r="H74" i="50"/>
  <c r="G479" i="50"/>
  <c r="H502" i="50"/>
  <c r="H27" i="50"/>
  <c r="H413" i="50"/>
  <c r="G21" i="50"/>
  <c r="H365" i="50"/>
  <c r="H370" i="50"/>
  <c r="H382" i="50"/>
  <c r="H393" i="50"/>
  <c r="H395" i="50"/>
  <c r="H441" i="50"/>
  <c r="G215" i="50"/>
  <c r="H474" i="50"/>
  <c r="H30" i="50"/>
  <c r="F213" i="50"/>
  <c r="H213" i="50" s="1"/>
  <c r="F70" i="50"/>
  <c r="H95" i="50"/>
  <c r="H93" i="50"/>
  <c r="H77" i="50"/>
  <c r="H70" i="50"/>
  <c r="F69" i="50"/>
  <c r="F405" i="50"/>
  <c r="H455" i="50"/>
  <c r="H475" i="50"/>
  <c r="H473" i="50"/>
  <c r="G470" i="50"/>
  <c r="G466" i="50" s="1"/>
  <c r="F466" i="50"/>
  <c r="F471" i="50"/>
  <c r="F467" i="50" s="1"/>
  <c r="H487" i="50"/>
  <c r="F469" i="50"/>
  <c r="G471" i="50"/>
  <c r="G467" i="50" s="1"/>
  <c r="H29" i="50"/>
  <c r="G23" i="50"/>
  <c r="G359" i="50"/>
  <c r="H367" i="50"/>
  <c r="F357" i="50"/>
  <c r="H362" i="50"/>
  <c r="F359" i="50"/>
  <c r="H361" i="50"/>
  <c r="F21" i="50"/>
  <c r="F22" i="50"/>
  <c r="H513" i="50"/>
  <c r="H503" i="50"/>
  <c r="G478" i="50"/>
  <c r="F477" i="50"/>
  <c r="H477" i="50" s="1"/>
  <c r="F479" i="50"/>
  <c r="AB16" i="62"/>
  <c r="AB20" i="62"/>
  <c r="AB24" i="62"/>
  <c r="AB36" i="62"/>
  <c r="AB11" i="62"/>
  <c r="AA43" i="62"/>
  <c r="AB43" i="62" s="1"/>
  <c r="X37" i="62"/>
  <c r="AB8" i="62"/>
  <c r="F71" i="59"/>
  <c r="C74" i="59"/>
  <c r="F83" i="59"/>
  <c r="B87" i="59"/>
  <c r="F63" i="59"/>
  <c r="F70" i="59"/>
  <c r="C61" i="58"/>
  <c r="B17" i="58"/>
  <c r="B25" i="58"/>
  <c r="D45" i="58"/>
  <c r="F45" i="58" s="1"/>
  <c r="B51" i="58"/>
  <c r="F65" i="58"/>
  <c r="C68" i="58"/>
  <c r="B81" i="58"/>
  <c r="F64" i="58"/>
  <c r="D20" i="57"/>
  <c r="D22" i="57"/>
  <c r="C22" i="57"/>
  <c r="C20" i="57"/>
  <c r="F12" i="57"/>
  <c r="E12" i="57"/>
  <c r="R238" i="30"/>
  <c r="R241" i="30"/>
  <c r="M235" i="30"/>
  <c r="M236" i="30"/>
  <c r="R236" i="30" s="1"/>
  <c r="M234" i="30"/>
  <c r="R234" i="30" s="1"/>
  <c r="M231" i="30"/>
  <c r="M232" i="30"/>
  <c r="M230" i="30"/>
  <c r="R230" i="30" s="1"/>
  <c r="H228" i="30"/>
  <c r="F81" i="58" l="1"/>
  <c r="H415" i="50"/>
  <c r="F25" i="58"/>
  <c r="F119" i="50"/>
  <c r="E61" i="58"/>
  <c r="G406" i="50"/>
  <c r="D34" i="2" s="1"/>
  <c r="D46" i="2" s="1"/>
  <c r="D56" i="59"/>
  <c r="D67" i="59" s="1"/>
  <c r="G784" i="50"/>
  <c r="D58" i="2"/>
  <c r="G12" i="57"/>
  <c r="F68" i="58"/>
  <c r="F87" i="59"/>
  <c r="H469" i="50"/>
  <c r="C21" i="2"/>
  <c r="C33" i="2"/>
  <c r="E33" i="2" s="1"/>
  <c r="H409" i="50"/>
  <c r="C22" i="2"/>
  <c r="C34" i="2"/>
  <c r="E34" i="2" s="1"/>
  <c r="D35" i="2"/>
  <c r="D23" i="2"/>
  <c r="Y38" i="62"/>
  <c r="Y44" i="62" s="1"/>
  <c r="E104" i="2"/>
  <c r="C95" i="2"/>
  <c r="E95" i="2" s="1"/>
  <c r="F785" i="50"/>
  <c r="C55" i="2"/>
  <c r="H643" i="50"/>
  <c r="C61" i="2"/>
  <c r="E61" i="2" s="1"/>
  <c r="C103" i="2"/>
  <c r="E111" i="2"/>
  <c r="C35" i="2"/>
  <c r="C23" i="2"/>
  <c r="D13" i="2"/>
  <c r="D45" i="2"/>
  <c r="H357" i="50"/>
  <c r="H769" i="50"/>
  <c r="G788" i="50"/>
  <c r="E59" i="2"/>
  <c r="D83" i="2"/>
  <c r="G783" i="50"/>
  <c r="D57" i="2"/>
  <c r="F783" i="50"/>
  <c r="C53" i="2"/>
  <c r="E62" i="2"/>
  <c r="G785" i="50"/>
  <c r="G789" i="50" s="1"/>
  <c r="C67" i="59"/>
  <c r="AB37" i="62"/>
  <c r="AB27" i="62"/>
  <c r="F74" i="59"/>
  <c r="C91" i="59"/>
  <c r="F64" i="59"/>
  <c r="F26" i="59"/>
  <c r="B91" i="59"/>
  <c r="B67" i="59"/>
  <c r="F17" i="59"/>
  <c r="H644" i="50"/>
  <c r="H610" i="50"/>
  <c r="H411" i="50"/>
  <c r="H418" i="50"/>
  <c r="H612" i="50"/>
  <c r="H417" i="50"/>
  <c r="H358" i="50"/>
  <c r="H611" i="50"/>
  <c r="H478" i="50"/>
  <c r="H419" i="50"/>
  <c r="H23" i="50"/>
  <c r="H69" i="50"/>
  <c r="G10" i="50"/>
  <c r="F533" i="50"/>
  <c r="F525" i="50" s="1"/>
  <c r="G9" i="50"/>
  <c r="G533" i="50"/>
  <c r="G525" i="50" s="1"/>
  <c r="G11" i="50"/>
  <c r="H14" i="50"/>
  <c r="H530" i="50"/>
  <c r="H18" i="50"/>
  <c r="F534" i="50"/>
  <c r="F526" i="50" s="1"/>
  <c r="H13" i="50"/>
  <c r="H677" i="50"/>
  <c r="F71" i="50"/>
  <c r="H71" i="50" s="1"/>
  <c r="H119" i="50"/>
  <c r="H407" i="50"/>
  <c r="H406" i="50"/>
  <c r="F15" i="50"/>
  <c r="F531" i="50" s="1"/>
  <c r="F263" i="50"/>
  <c r="H263" i="50" s="1"/>
  <c r="F19" i="50"/>
  <c r="F311" i="50"/>
  <c r="H311" i="50" s="1"/>
  <c r="F215" i="50"/>
  <c r="H215" i="50" s="1"/>
  <c r="H117" i="50"/>
  <c r="H405" i="50"/>
  <c r="F10" i="50"/>
  <c r="C30" i="2" s="1"/>
  <c r="E30" i="2" s="1"/>
  <c r="H22" i="50"/>
  <c r="H17" i="50"/>
  <c r="F9" i="50"/>
  <c r="C29" i="2" s="1"/>
  <c r="E29" i="2" s="1"/>
  <c r="H479" i="50"/>
  <c r="H21" i="50"/>
  <c r="H675" i="50"/>
  <c r="H467" i="50"/>
  <c r="H116" i="50"/>
  <c r="H466" i="50"/>
  <c r="F465" i="50"/>
  <c r="H465" i="50" s="1"/>
  <c r="H471" i="50"/>
  <c r="H470" i="50"/>
  <c r="H359" i="50"/>
  <c r="AA44" i="62"/>
  <c r="X38" i="62"/>
  <c r="B61" i="58"/>
  <c r="F17" i="58"/>
  <c r="D51" i="58"/>
  <c r="D61" i="58" s="1"/>
  <c r="B85" i="58"/>
  <c r="F85" i="58" s="1"/>
  <c r="F22" i="57"/>
  <c r="F20" i="57"/>
  <c r="E20" i="57"/>
  <c r="E22" i="57"/>
  <c r="N242" i="30"/>
  <c r="N222" i="30" s="1"/>
  <c r="N195" i="30"/>
  <c r="N194" i="30"/>
  <c r="N200" i="30"/>
  <c r="N232" i="30"/>
  <c r="D65" i="52"/>
  <c r="F65" i="52"/>
  <c r="D9" i="52"/>
  <c r="D54" i="52"/>
  <c r="N240" i="30"/>
  <c r="R240" i="30" s="1"/>
  <c r="F54" i="52"/>
  <c r="D47" i="52"/>
  <c r="F47" i="52"/>
  <c r="F40" i="52"/>
  <c r="F39" i="52"/>
  <c r="F37" i="52" s="1"/>
  <c r="D26" i="52"/>
  <c r="F26" i="52"/>
  <c r="G152" i="30"/>
  <c r="H152" i="30"/>
  <c r="H136" i="30" s="1"/>
  <c r="I152" i="30"/>
  <c r="J152" i="30"/>
  <c r="J128" i="30" s="1"/>
  <c r="J124" i="30" s="1"/>
  <c r="N152" i="30"/>
  <c r="N136" i="30" s="1"/>
  <c r="O152" i="30"/>
  <c r="P152" i="30"/>
  <c r="Q152" i="30"/>
  <c r="G151" i="30"/>
  <c r="H151" i="30"/>
  <c r="I151" i="30"/>
  <c r="J151" i="30"/>
  <c r="J127" i="30" s="1"/>
  <c r="J123" i="30" s="1"/>
  <c r="N151" i="30"/>
  <c r="O151" i="30"/>
  <c r="P151" i="30"/>
  <c r="Q151" i="30"/>
  <c r="F151" i="30"/>
  <c r="M151" i="30" s="1"/>
  <c r="F152" i="30"/>
  <c r="M152" i="30" s="1"/>
  <c r="G150" i="30"/>
  <c r="H150" i="30"/>
  <c r="H126" i="30" s="1"/>
  <c r="I150" i="30"/>
  <c r="N150" i="30"/>
  <c r="O150" i="30"/>
  <c r="P150" i="30"/>
  <c r="Q150" i="30"/>
  <c r="F150" i="30"/>
  <c r="M150" i="30" s="1"/>
  <c r="N196" i="30" l="1"/>
  <c r="R200" i="30"/>
  <c r="G22" i="57"/>
  <c r="H127" i="30"/>
  <c r="H123" i="30" s="1"/>
  <c r="H135" i="30"/>
  <c r="F51" i="58"/>
  <c r="F61" i="58"/>
  <c r="D14" i="2"/>
  <c r="F56" i="59"/>
  <c r="K124" i="30"/>
  <c r="G787" i="50"/>
  <c r="D49" i="2"/>
  <c r="E57" i="2"/>
  <c r="D81" i="2"/>
  <c r="C94" i="2"/>
  <c r="E94" i="2" s="1"/>
  <c r="E103" i="2"/>
  <c r="H785" i="50"/>
  <c r="D15" i="2"/>
  <c r="D47" i="2"/>
  <c r="D87" i="2" s="1"/>
  <c r="D120" i="2" s="1"/>
  <c r="E23" i="2"/>
  <c r="F787" i="50"/>
  <c r="E53" i="2"/>
  <c r="C81" i="2"/>
  <c r="C49" i="2"/>
  <c r="E49" i="2" s="1"/>
  <c r="E35" i="2"/>
  <c r="E21" i="2"/>
  <c r="C45" i="2"/>
  <c r="E45" i="2" s="1"/>
  <c r="C13" i="2"/>
  <c r="E13" i="2" s="1"/>
  <c r="H783" i="50"/>
  <c r="D85" i="2"/>
  <c r="D118" i="2" s="1"/>
  <c r="E55" i="2"/>
  <c r="C83" i="2"/>
  <c r="C51" i="2"/>
  <c r="E51" i="2" s="1"/>
  <c r="E22" i="2"/>
  <c r="C46" i="2"/>
  <c r="E46" i="2" s="1"/>
  <c r="C14" i="2"/>
  <c r="E14" i="2" s="1"/>
  <c r="E58" i="2"/>
  <c r="D82" i="2"/>
  <c r="D86" i="2" s="1"/>
  <c r="D119" i="2" s="1"/>
  <c r="D50" i="2"/>
  <c r="H526" i="50"/>
  <c r="N228" i="30"/>
  <c r="N224" i="30" s="1"/>
  <c r="F46" i="52"/>
  <c r="F45" i="52"/>
  <c r="R232" i="30"/>
  <c r="I128" i="30"/>
  <c r="I127" i="30"/>
  <c r="H128" i="30"/>
  <c r="H124" i="30" s="1"/>
  <c r="F91" i="59"/>
  <c r="F67" i="59"/>
  <c r="G20" i="57"/>
  <c r="H10" i="50"/>
  <c r="H534" i="50"/>
  <c r="H525" i="50"/>
  <c r="H533" i="50"/>
  <c r="H9" i="50"/>
  <c r="H15" i="50"/>
  <c r="H19" i="50"/>
  <c r="F535" i="50"/>
  <c r="H535" i="50" s="1"/>
  <c r="H529" i="50"/>
  <c r="F11" i="50"/>
  <c r="X44" i="62"/>
  <c r="AB44" i="62" s="1"/>
  <c r="AB38" i="62"/>
  <c r="E83" i="2" l="1"/>
  <c r="H11" i="50"/>
  <c r="C31" i="2"/>
  <c r="E81" i="2"/>
  <c r="C85" i="2"/>
  <c r="F527" i="50"/>
  <c r="H787" i="50"/>
  <c r="H531" i="50"/>
  <c r="H134" i="30"/>
  <c r="G128" i="30"/>
  <c r="G124" i="30" s="1"/>
  <c r="L128" i="30"/>
  <c r="N128" i="30"/>
  <c r="O128" i="30"/>
  <c r="O124" i="30" s="1"/>
  <c r="P128" i="30"/>
  <c r="P124" i="30" s="1"/>
  <c r="Q128" i="30"/>
  <c r="Q124" i="30" s="1"/>
  <c r="O127" i="30"/>
  <c r="P127" i="30"/>
  <c r="Q127" i="30"/>
  <c r="G126" i="30"/>
  <c r="N126" i="30"/>
  <c r="O126" i="30"/>
  <c r="P126" i="30"/>
  <c r="Q126" i="30"/>
  <c r="F128" i="30"/>
  <c r="F126" i="30"/>
  <c r="E31" i="2" l="1"/>
  <c r="C47" i="2"/>
  <c r="C15" i="2"/>
  <c r="E15" i="2" s="1"/>
  <c r="L124" i="30"/>
  <c r="E85" i="2"/>
  <c r="C118" i="2"/>
  <c r="E118" i="2" s="1"/>
  <c r="H527" i="50"/>
  <c r="F789" i="50"/>
  <c r="N124" i="30"/>
  <c r="M126" i="30"/>
  <c r="R126" i="30" s="1"/>
  <c r="M128" i="30"/>
  <c r="R128" i="30" s="1"/>
  <c r="I124" i="30"/>
  <c r="E47" i="2" l="1"/>
  <c r="C87" i="2"/>
  <c r="H122" i="30"/>
  <c r="L122" i="30"/>
  <c r="G122" i="30"/>
  <c r="I122" i="30"/>
  <c r="G224" i="30"/>
  <c r="H224" i="30"/>
  <c r="I224" i="30"/>
  <c r="J224" i="30"/>
  <c r="K224" i="30"/>
  <c r="L224" i="30"/>
  <c r="O224" i="30"/>
  <c r="P224" i="30"/>
  <c r="Q224" i="30"/>
  <c r="F224" i="30"/>
  <c r="G223" i="30"/>
  <c r="H223" i="30"/>
  <c r="I223" i="30"/>
  <c r="J223" i="30"/>
  <c r="K223" i="30"/>
  <c r="L223" i="30"/>
  <c r="O223" i="30"/>
  <c r="P223" i="30"/>
  <c r="Q223" i="30"/>
  <c r="G222" i="30"/>
  <c r="H222" i="30"/>
  <c r="I222" i="30"/>
  <c r="J222" i="30"/>
  <c r="K222" i="30"/>
  <c r="L222" i="30"/>
  <c r="O222" i="30"/>
  <c r="P222" i="30"/>
  <c r="Q222" i="30"/>
  <c r="F223" i="30"/>
  <c r="M247" i="30"/>
  <c r="M248" i="30"/>
  <c r="M246" i="30"/>
  <c r="R246" i="30" s="1"/>
  <c r="M227" i="30"/>
  <c r="M228" i="30"/>
  <c r="R228" i="30" s="1"/>
  <c r="M226" i="30"/>
  <c r="R226" i="30" s="1"/>
  <c r="E87" i="2" l="1"/>
  <c r="C120" i="2"/>
  <c r="E120" i="2" s="1"/>
  <c r="M223" i="30"/>
  <c r="M224" i="30"/>
  <c r="R224" i="30" s="1"/>
  <c r="M222" i="30"/>
  <c r="R222" i="30" s="1"/>
  <c r="M192" i="30" l="1"/>
  <c r="R192" i="30" s="1"/>
  <c r="M190" i="30"/>
  <c r="R190" i="30" s="1"/>
  <c r="M333" i="30"/>
  <c r="M334" i="30"/>
  <c r="M335" i="30"/>
  <c r="M336" i="30"/>
  <c r="O260" i="30" l="1"/>
  <c r="O340" i="30" s="1"/>
  <c r="P260" i="30"/>
  <c r="P340" i="30" s="1"/>
  <c r="Q260" i="30"/>
  <c r="O259" i="30"/>
  <c r="O339" i="30" s="1"/>
  <c r="P259" i="30"/>
  <c r="P339" i="30" s="1"/>
  <c r="Q259" i="30"/>
  <c r="Q339" i="30" s="1"/>
  <c r="N259" i="30"/>
  <c r="N339" i="30" s="1"/>
  <c r="N260" i="30"/>
  <c r="N340" i="30" s="1"/>
  <c r="R257" i="30"/>
  <c r="O258" i="30"/>
  <c r="O338" i="30" s="1"/>
  <c r="P258" i="30"/>
  <c r="P338" i="30" s="1"/>
  <c r="Q258" i="30"/>
  <c r="Q338" i="30" s="1"/>
  <c r="N258" i="30"/>
  <c r="N338" i="30" s="1"/>
  <c r="G260" i="30"/>
  <c r="G340" i="30" s="1"/>
  <c r="I260" i="30"/>
  <c r="I340" i="30" s="1"/>
  <c r="J260" i="30"/>
  <c r="J340" i="30" s="1"/>
  <c r="K260" i="30"/>
  <c r="K340" i="30" s="1"/>
  <c r="L260" i="30"/>
  <c r="L340" i="30" s="1"/>
  <c r="G259" i="30"/>
  <c r="I259" i="30"/>
  <c r="I339" i="30" s="1"/>
  <c r="J259" i="30"/>
  <c r="J339" i="30" s="1"/>
  <c r="K259" i="30"/>
  <c r="K339" i="30" s="1"/>
  <c r="L259" i="30"/>
  <c r="G258" i="30"/>
  <c r="G338" i="30" s="1"/>
  <c r="H258" i="30"/>
  <c r="H338" i="30" s="1"/>
  <c r="I258" i="30"/>
  <c r="I338" i="30" s="1"/>
  <c r="J258" i="30"/>
  <c r="J338" i="30" s="1"/>
  <c r="K258" i="30"/>
  <c r="K338" i="30" s="1"/>
  <c r="L258" i="30"/>
  <c r="L338" i="30" s="1"/>
  <c r="F259" i="30"/>
  <c r="F260" i="30"/>
  <c r="F340" i="30" s="1"/>
  <c r="F258" i="30"/>
  <c r="F338" i="30" s="1"/>
  <c r="F254" i="30"/>
  <c r="O256" i="30"/>
  <c r="O332" i="30" s="1"/>
  <c r="P256" i="30"/>
  <c r="Q256" i="30"/>
  <c r="Q332" i="30" s="1"/>
  <c r="Q361" i="30" s="1"/>
  <c r="O255" i="30"/>
  <c r="O331" i="30" s="1"/>
  <c r="P255" i="30"/>
  <c r="P331" i="30" s="1"/>
  <c r="Q255" i="30"/>
  <c r="Q331" i="30" s="1"/>
  <c r="O254" i="30"/>
  <c r="O330" i="30" s="1"/>
  <c r="P254" i="30"/>
  <c r="Q254" i="30"/>
  <c r="Q330" i="30" s="1"/>
  <c r="N256" i="30"/>
  <c r="N254" i="30"/>
  <c r="G256" i="30"/>
  <c r="K256" i="30"/>
  <c r="L256" i="30"/>
  <c r="L332" i="30" s="1"/>
  <c r="J255" i="30"/>
  <c r="J331" i="30" s="1"/>
  <c r="K255" i="30"/>
  <c r="K331" i="30" s="1"/>
  <c r="L255" i="30"/>
  <c r="L331" i="30" s="1"/>
  <c r="G254" i="30"/>
  <c r="I254" i="30"/>
  <c r="J254" i="30"/>
  <c r="J330" i="30" s="1"/>
  <c r="K254" i="30"/>
  <c r="K330" i="30" s="1"/>
  <c r="L254" i="30"/>
  <c r="L330" i="30" s="1"/>
  <c r="F256" i="30"/>
  <c r="I268" i="30"/>
  <c r="I256" i="30" s="1"/>
  <c r="F9" i="52"/>
  <c r="M180" i="30"/>
  <c r="R180" i="30" s="1"/>
  <c r="M178" i="30"/>
  <c r="R178" i="30" s="1"/>
  <c r="F62" i="52"/>
  <c r="F61" i="52" s="1"/>
  <c r="D62" i="52"/>
  <c r="D61" i="52" s="1"/>
  <c r="G822" i="50" s="1"/>
  <c r="D18" i="52"/>
  <c r="D8" i="52" s="1"/>
  <c r="D6" i="52" s="1"/>
  <c r="F59" i="52"/>
  <c r="D59" i="52"/>
  <c r="D46" i="52" s="1"/>
  <c r="D45" i="52" s="1"/>
  <c r="D40" i="52" s="1"/>
  <c r="N302" i="30"/>
  <c r="F22" i="52"/>
  <c r="F20" i="52"/>
  <c r="F23" i="52"/>
  <c r="H250" i="30" l="1"/>
  <c r="Q250" i="30"/>
  <c r="O250" i="30"/>
  <c r="O252" i="30"/>
  <c r="K326" i="30"/>
  <c r="Q327" i="30"/>
  <c r="K252" i="30"/>
  <c r="K332" i="30"/>
  <c r="K328" i="30" s="1"/>
  <c r="Q326" i="30"/>
  <c r="Q359" i="30"/>
  <c r="P327" i="30"/>
  <c r="O328" i="30"/>
  <c r="O361" i="30"/>
  <c r="D156" i="2"/>
  <c r="E156" i="2" s="1"/>
  <c r="H822" i="50"/>
  <c r="O327" i="30"/>
  <c r="O326" i="30"/>
  <c r="O359" i="30"/>
  <c r="G818" i="50"/>
  <c r="D68" i="52"/>
  <c r="D78" i="52" s="1"/>
  <c r="G824" i="50"/>
  <c r="G252" i="30"/>
  <c r="P250" i="30"/>
  <c r="P330" i="30"/>
  <c r="L251" i="30"/>
  <c r="L339" i="30"/>
  <c r="Q252" i="30"/>
  <c r="Q340" i="30"/>
  <c r="Q328" i="30" s="1"/>
  <c r="M254" i="30"/>
  <c r="R254" i="30" s="1"/>
  <c r="N252" i="30"/>
  <c r="P252" i="30"/>
  <c r="P332" i="30"/>
  <c r="L250" i="30"/>
  <c r="J250" i="30"/>
  <c r="I252" i="30"/>
  <c r="K250" i="30"/>
  <c r="I250" i="30"/>
  <c r="K251" i="30"/>
  <c r="G250" i="30"/>
  <c r="F250" i="30"/>
  <c r="J251" i="30"/>
  <c r="M260" i="30"/>
  <c r="R260" i="30" s="1"/>
  <c r="N250" i="30"/>
  <c r="L252" i="30"/>
  <c r="F252" i="30"/>
  <c r="F19" i="52"/>
  <c r="M175" i="30"/>
  <c r="R175" i="30" s="1"/>
  <c r="M176" i="30"/>
  <c r="R176" i="30" s="1"/>
  <c r="M174" i="30"/>
  <c r="R174" i="30" s="1"/>
  <c r="M250" i="30" l="1"/>
  <c r="R250" i="30" s="1"/>
  <c r="P328" i="30"/>
  <c r="P361" i="30"/>
  <c r="P326" i="30"/>
  <c r="P359" i="30"/>
  <c r="F18" i="52"/>
  <c r="N304" i="30"/>
  <c r="N296" i="30" s="1"/>
  <c r="N332" i="30" s="1"/>
  <c r="D152" i="2"/>
  <c r="E152" i="2" s="1"/>
  <c r="H818" i="50"/>
  <c r="G830" i="50"/>
  <c r="D158" i="2"/>
  <c r="E158" i="2" s="1"/>
  <c r="H824" i="50"/>
  <c r="O251" i="30"/>
  <c r="M345" i="30"/>
  <c r="R345" i="30" s="1"/>
  <c r="M343" i="30"/>
  <c r="R343" i="30" s="1"/>
  <c r="N328" i="30" l="1"/>
  <c r="D164" i="2"/>
  <c r="G838" i="50"/>
  <c r="D176" i="2" s="1"/>
  <c r="D89" i="2" s="1"/>
  <c r="H830" i="50"/>
  <c r="P251" i="30"/>
  <c r="Q251" i="30"/>
  <c r="D168" i="2" l="1"/>
  <c r="E164" i="2"/>
  <c r="M140" i="30"/>
  <c r="R140" i="30" s="1"/>
  <c r="M138" i="30"/>
  <c r="R138" i="30" s="1"/>
  <c r="M310" i="30"/>
  <c r="R310" i="30" s="1"/>
  <c r="M311" i="30"/>
  <c r="R311" i="30" s="1"/>
  <c r="M312" i="30"/>
  <c r="R312" i="30" s="1"/>
  <c r="G136" i="30"/>
  <c r="I136" i="30"/>
  <c r="O136" i="30"/>
  <c r="P136" i="30"/>
  <c r="Q136" i="30"/>
  <c r="I135" i="30"/>
  <c r="O135" i="30"/>
  <c r="P135" i="30"/>
  <c r="Q135" i="30"/>
  <c r="G134" i="30"/>
  <c r="I134" i="30"/>
  <c r="N134" i="30"/>
  <c r="O134" i="30"/>
  <c r="P134" i="30"/>
  <c r="Q134" i="30"/>
  <c r="F136" i="30"/>
  <c r="F134" i="30"/>
  <c r="M112" i="30"/>
  <c r="M113" i="30"/>
  <c r="M114" i="30"/>
  <c r="M115" i="30"/>
  <c r="M365" i="30" s="1"/>
  <c r="R365" i="30" s="1"/>
  <c r="N95" i="30"/>
  <c r="N93" i="30"/>
  <c r="G95" i="30"/>
  <c r="H95" i="30"/>
  <c r="I95" i="30"/>
  <c r="J95" i="30"/>
  <c r="K95" i="30"/>
  <c r="L95" i="30"/>
  <c r="G94" i="30"/>
  <c r="I94" i="30"/>
  <c r="J94" i="30"/>
  <c r="K94" i="30"/>
  <c r="L94" i="30"/>
  <c r="G93" i="30"/>
  <c r="H93" i="30"/>
  <c r="I93" i="30"/>
  <c r="J93" i="30"/>
  <c r="K93" i="30"/>
  <c r="L93" i="30"/>
  <c r="F94" i="30"/>
  <c r="F95" i="30"/>
  <c r="F93" i="30"/>
  <c r="M99" i="30"/>
  <c r="R99" i="30" s="1"/>
  <c r="M97" i="30"/>
  <c r="R97" i="30" s="1"/>
  <c r="H75" i="30"/>
  <c r="H71" i="30" s="1"/>
  <c r="N63" i="30"/>
  <c r="N75" i="30"/>
  <c r="N71" i="30" s="1"/>
  <c r="N79" i="30"/>
  <c r="N50" i="30"/>
  <c r="G118" i="30"/>
  <c r="N49" i="30"/>
  <c r="H117" i="30"/>
  <c r="H367" i="30" s="1"/>
  <c r="H118" i="30"/>
  <c r="G49" i="30"/>
  <c r="M65" i="30"/>
  <c r="R65" i="30" s="1"/>
  <c r="F57" i="30"/>
  <c r="G57" i="30"/>
  <c r="R114" i="30" l="1"/>
  <c r="M364" i="30"/>
  <c r="R364" i="30" s="1"/>
  <c r="R113" i="30"/>
  <c r="M363" i="30"/>
  <c r="R363" i="30" s="1"/>
  <c r="R112" i="30"/>
  <c r="M362" i="30"/>
  <c r="R362" i="30" s="1"/>
  <c r="M93" i="30"/>
  <c r="R93" i="30" s="1"/>
  <c r="M136" i="30"/>
  <c r="R136" i="30" s="1"/>
  <c r="M95" i="30"/>
  <c r="R95" i="30" s="1"/>
  <c r="M134" i="30"/>
  <c r="R134" i="30" s="1"/>
  <c r="N51" i="30"/>
  <c r="J28" i="32" l="1"/>
  <c r="I51" i="30"/>
  <c r="J51" i="30"/>
  <c r="K51" i="30"/>
  <c r="L51" i="30"/>
  <c r="O55" i="30"/>
  <c r="P55" i="30"/>
  <c r="P119" i="30" s="1"/>
  <c r="P369" i="30" s="1"/>
  <c r="Q55" i="30"/>
  <c r="Q119" i="30" s="1"/>
  <c r="Q369" i="30" s="1"/>
  <c r="N54" i="30"/>
  <c r="O54" i="30"/>
  <c r="O118" i="30" s="1"/>
  <c r="O368" i="30" s="1"/>
  <c r="P54" i="30"/>
  <c r="P118" i="30" s="1"/>
  <c r="P368" i="30" s="1"/>
  <c r="Q54" i="30"/>
  <c r="Q118" i="30" s="1"/>
  <c r="Q368" i="30" s="1"/>
  <c r="N53" i="30"/>
  <c r="N117" i="30" s="1"/>
  <c r="N367" i="30" s="1"/>
  <c r="O53" i="30"/>
  <c r="O117" i="30" s="1"/>
  <c r="O367" i="30" s="1"/>
  <c r="P53" i="30"/>
  <c r="P117" i="30" s="1"/>
  <c r="P367" i="30" s="1"/>
  <c r="Q53" i="30"/>
  <c r="Q117" i="30" s="1"/>
  <c r="Q367" i="30" s="1"/>
  <c r="O51" i="30"/>
  <c r="P51" i="30"/>
  <c r="Q51" i="30"/>
  <c r="O50" i="30"/>
  <c r="P50" i="30"/>
  <c r="Q50" i="30"/>
  <c r="O49" i="30"/>
  <c r="P49" i="30"/>
  <c r="Q49" i="30"/>
  <c r="I119" i="30"/>
  <c r="I369" i="30" s="1"/>
  <c r="K119" i="30"/>
  <c r="K369" i="30" s="1"/>
  <c r="I118" i="30"/>
  <c r="I368" i="30" s="1"/>
  <c r="J118" i="30"/>
  <c r="J368" i="30" s="1"/>
  <c r="K118" i="30"/>
  <c r="K368" i="30" s="1"/>
  <c r="L118" i="30"/>
  <c r="L368" i="30" s="1"/>
  <c r="I117" i="30"/>
  <c r="I367" i="30" s="1"/>
  <c r="J117" i="30"/>
  <c r="J367" i="30" s="1"/>
  <c r="K117" i="30"/>
  <c r="K367" i="30" s="1"/>
  <c r="L117" i="30"/>
  <c r="L367" i="30" s="1"/>
  <c r="I50" i="30"/>
  <c r="J50" i="30"/>
  <c r="K50" i="30"/>
  <c r="L50" i="30"/>
  <c r="N67" i="30"/>
  <c r="H67" i="30"/>
  <c r="H55" i="30" s="1"/>
  <c r="H51" i="30"/>
  <c r="G67" i="30"/>
  <c r="G63" i="30"/>
  <c r="G51" i="30" s="1"/>
  <c r="F67" i="30"/>
  <c r="F63" i="30"/>
  <c r="F51" i="30" s="1"/>
  <c r="G55" i="30" l="1"/>
  <c r="G119" i="30" s="1"/>
  <c r="G369" i="30" s="1"/>
  <c r="F119" i="30"/>
  <c r="F369" i="30" s="1"/>
  <c r="F55" i="30"/>
  <c r="M55" i="30" s="1"/>
  <c r="M51" i="30"/>
  <c r="H59" i="30"/>
  <c r="J44" i="32"/>
  <c r="P47" i="30"/>
  <c r="N55" i="30"/>
  <c r="N59" i="30"/>
  <c r="H47" i="30"/>
  <c r="H119" i="30"/>
  <c r="G47" i="30"/>
  <c r="J46" i="30"/>
  <c r="O47" i="30"/>
  <c r="K46" i="30"/>
  <c r="L47" i="30"/>
  <c r="L119" i="30"/>
  <c r="L369" i="30" s="1"/>
  <c r="I46" i="30"/>
  <c r="G45" i="30"/>
  <c r="G117" i="30"/>
  <c r="G367" i="30" s="1"/>
  <c r="N46" i="30"/>
  <c r="N118" i="30"/>
  <c r="N368" i="30" s="1"/>
  <c r="F45" i="30"/>
  <c r="F117" i="30"/>
  <c r="F367" i="30" s="1"/>
  <c r="J47" i="30"/>
  <c r="J119" i="30"/>
  <c r="J369" i="30" s="1"/>
  <c r="L46" i="30"/>
  <c r="I47" i="30"/>
  <c r="F47" i="30"/>
  <c r="Q47" i="30"/>
  <c r="K47" i="30"/>
  <c r="N45" i="30"/>
  <c r="R55" i="30" l="1"/>
  <c r="J32" i="32"/>
  <c r="N47" i="30"/>
  <c r="M47" i="30"/>
  <c r="M119" i="30"/>
  <c r="M117" i="30"/>
  <c r="R117" i="30" s="1"/>
  <c r="K48" i="32" l="1"/>
  <c r="R47" i="30"/>
  <c r="J48" i="32"/>
  <c r="M61" i="30"/>
  <c r="R61" i="30" s="1"/>
  <c r="G59" i="30"/>
  <c r="F59" i="30"/>
  <c r="M75" i="30"/>
  <c r="H74" i="30"/>
  <c r="H50" i="30" s="1"/>
  <c r="H46" i="30" s="1"/>
  <c r="G83" i="30"/>
  <c r="H83" i="30"/>
  <c r="I83" i="30"/>
  <c r="J83" i="30"/>
  <c r="K83" i="30"/>
  <c r="L83" i="30"/>
  <c r="G82" i="30"/>
  <c r="H82" i="30"/>
  <c r="I82" i="30"/>
  <c r="J82" i="30"/>
  <c r="K82" i="30"/>
  <c r="L82" i="30"/>
  <c r="G81" i="30"/>
  <c r="H81" i="30"/>
  <c r="H49" i="30" s="1"/>
  <c r="I81" i="30"/>
  <c r="J81" i="30"/>
  <c r="K81" i="30"/>
  <c r="L81" i="30"/>
  <c r="F82" i="30"/>
  <c r="F83" i="30"/>
  <c r="F81" i="30"/>
  <c r="R80" i="30"/>
  <c r="O71" i="30"/>
  <c r="P71" i="30"/>
  <c r="Q71" i="30"/>
  <c r="O70" i="30"/>
  <c r="P70" i="30"/>
  <c r="Q70" i="30"/>
  <c r="O69" i="30"/>
  <c r="P69" i="30"/>
  <c r="Q69" i="30"/>
  <c r="N70" i="30"/>
  <c r="N69" i="30"/>
  <c r="M67" i="30"/>
  <c r="M72" i="30"/>
  <c r="M73" i="30"/>
  <c r="M76" i="30"/>
  <c r="M77" i="30"/>
  <c r="M79" i="30"/>
  <c r="M84" i="30"/>
  <c r="R84" i="30" s="1"/>
  <c r="M85" i="30"/>
  <c r="R85" i="30" s="1"/>
  <c r="M86" i="30"/>
  <c r="R86" i="30" s="1"/>
  <c r="M87" i="30"/>
  <c r="R87" i="30" s="1"/>
  <c r="M88" i="30"/>
  <c r="R88" i="30" s="1"/>
  <c r="M89" i="30"/>
  <c r="R89" i="30" s="1"/>
  <c r="M90" i="30"/>
  <c r="R90" i="30" s="1"/>
  <c r="M91" i="30"/>
  <c r="R91" i="30" s="1"/>
  <c r="M66" i="30"/>
  <c r="G71" i="30"/>
  <c r="I71" i="30"/>
  <c r="J71" i="30"/>
  <c r="K71" i="30"/>
  <c r="L71" i="30"/>
  <c r="I70" i="30"/>
  <c r="J70" i="30"/>
  <c r="K70" i="30"/>
  <c r="L70" i="30"/>
  <c r="G69" i="30"/>
  <c r="H69" i="30"/>
  <c r="I69" i="30"/>
  <c r="J69" i="30"/>
  <c r="K69" i="30"/>
  <c r="L69" i="30"/>
  <c r="F71" i="30"/>
  <c r="F69" i="30"/>
  <c r="O59" i="30"/>
  <c r="P59" i="30"/>
  <c r="Q59" i="30"/>
  <c r="O58" i="30"/>
  <c r="P58" i="30"/>
  <c r="Q58" i="30"/>
  <c r="O57" i="30"/>
  <c r="P57" i="30"/>
  <c r="Q57" i="30"/>
  <c r="N58" i="30"/>
  <c r="N57" i="30"/>
  <c r="I59" i="30"/>
  <c r="J59" i="30"/>
  <c r="K59" i="30"/>
  <c r="L59" i="30"/>
  <c r="I57" i="30"/>
  <c r="J57" i="30"/>
  <c r="K57" i="30"/>
  <c r="L57" i="30"/>
  <c r="F27" i="30"/>
  <c r="F23" i="30" s="1"/>
  <c r="F34" i="30"/>
  <c r="F26" i="30"/>
  <c r="F38" i="30"/>
  <c r="F39" i="30"/>
  <c r="G39" i="30"/>
  <c r="H39" i="30"/>
  <c r="H15" i="30" s="1"/>
  <c r="H111" i="30" s="1"/>
  <c r="H107" i="30" s="1"/>
  <c r="I39" i="30"/>
  <c r="I15" i="30" s="1"/>
  <c r="J39" i="30"/>
  <c r="J15" i="30" s="1"/>
  <c r="K39" i="30"/>
  <c r="K15" i="30" s="1"/>
  <c r="L39" i="30"/>
  <c r="L15" i="30" s="1"/>
  <c r="G38" i="30"/>
  <c r="H38" i="30"/>
  <c r="I38" i="30"/>
  <c r="I14" i="30" s="1"/>
  <c r="J38" i="30"/>
  <c r="J14" i="30" s="1"/>
  <c r="K38" i="30"/>
  <c r="K14" i="30" s="1"/>
  <c r="L38" i="30"/>
  <c r="L14" i="30" s="1"/>
  <c r="G37" i="30"/>
  <c r="G13" i="30" s="1"/>
  <c r="G109" i="30" s="1"/>
  <c r="H37" i="30"/>
  <c r="H13" i="30" s="1"/>
  <c r="I37" i="30"/>
  <c r="I13" i="30" s="1"/>
  <c r="J37" i="30"/>
  <c r="J13" i="30" s="1"/>
  <c r="K37" i="30"/>
  <c r="K13" i="30" s="1"/>
  <c r="L37" i="30"/>
  <c r="L13" i="30" s="1"/>
  <c r="F37" i="30"/>
  <c r="F13" i="30" s="1"/>
  <c r="F109" i="30" s="1"/>
  <c r="O23" i="30"/>
  <c r="P23" i="30"/>
  <c r="Q23" i="30"/>
  <c r="O22" i="30"/>
  <c r="P22" i="30"/>
  <c r="Q22" i="30"/>
  <c r="O21" i="30"/>
  <c r="P21" i="30"/>
  <c r="Q21" i="30"/>
  <c r="N22" i="30"/>
  <c r="N23" i="30"/>
  <c r="N21" i="30"/>
  <c r="H23" i="30"/>
  <c r="I23" i="30"/>
  <c r="J23" i="30"/>
  <c r="K23" i="30"/>
  <c r="L23" i="30"/>
  <c r="I22" i="30"/>
  <c r="J22" i="30"/>
  <c r="K22" i="30"/>
  <c r="L22" i="30"/>
  <c r="G21" i="30"/>
  <c r="H21" i="30"/>
  <c r="I21" i="30"/>
  <c r="J21" i="30"/>
  <c r="K21" i="30"/>
  <c r="L21" i="30"/>
  <c r="F21" i="30"/>
  <c r="P11" i="30"/>
  <c r="Q11" i="30"/>
  <c r="Q10" i="30"/>
  <c r="O9" i="30"/>
  <c r="P9" i="30"/>
  <c r="Q9" i="30"/>
  <c r="G27" i="30"/>
  <c r="G23" i="30" s="1"/>
  <c r="H26" i="30"/>
  <c r="H22" i="30" s="1"/>
  <c r="M33" i="30"/>
  <c r="R33" i="30" s="1"/>
  <c r="M35" i="30"/>
  <c r="R35" i="30" s="1"/>
  <c r="M29" i="30"/>
  <c r="R29" i="30" s="1"/>
  <c r="M30" i="30"/>
  <c r="R30" i="30" s="1"/>
  <c r="M31" i="30"/>
  <c r="R31" i="30" s="1"/>
  <c r="M25" i="30"/>
  <c r="R25" i="30" s="1"/>
  <c r="M262" i="30"/>
  <c r="R262" i="30" s="1"/>
  <c r="M264" i="30"/>
  <c r="R264" i="30" s="1"/>
  <c r="M266" i="30"/>
  <c r="R266" i="30" s="1"/>
  <c r="M268" i="30"/>
  <c r="R268" i="30" s="1"/>
  <c r="M270" i="30"/>
  <c r="R270" i="30" s="1"/>
  <c r="M271" i="30"/>
  <c r="R271" i="30" s="1"/>
  <c r="M272" i="30"/>
  <c r="R272" i="30" s="1"/>
  <c r="M274" i="30"/>
  <c r="R274" i="30" s="1"/>
  <c r="M275" i="30"/>
  <c r="R275" i="30" s="1"/>
  <c r="M276" i="30"/>
  <c r="R276" i="30" s="1"/>
  <c r="M278" i="30"/>
  <c r="R278" i="30" s="1"/>
  <c r="M279" i="30"/>
  <c r="R279" i="30" s="1"/>
  <c r="M280" i="30"/>
  <c r="R280" i="30" s="1"/>
  <c r="H204" i="30"/>
  <c r="M204" i="30" s="1"/>
  <c r="R204" i="30" s="1"/>
  <c r="H199" i="30"/>
  <c r="M199" i="30" s="1"/>
  <c r="R199" i="30" s="1"/>
  <c r="M214" i="30"/>
  <c r="R214" i="30" s="1"/>
  <c r="M216" i="30"/>
  <c r="R216" i="30" s="1"/>
  <c r="F212" i="30"/>
  <c r="R209" i="30"/>
  <c r="R210" i="30"/>
  <c r="M206" i="30"/>
  <c r="R206" i="30" s="1"/>
  <c r="G308" i="30"/>
  <c r="F308" i="30"/>
  <c r="M306" i="30"/>
  <c r="R306" i="30" s="1"/>
  <c r="M320" i="30"/>
  <c r="R320" i="30" s="1"/>
  <c r="M323" i="30"/>
  <c r="R323" i="30" s="1"/>
  <c r="M318" i="30"/>
  <c r="R318" i="30" s="1"/>
  <c r="F24" i="52"/>
  <c r="F8" i="52" s="1"/>
  <c r="F6" i="52" s="1"/>
  <c r="M284" i="30"/>
  <c r="R284" i="30" s="1"/>
  <c r="M282" i="30"/>
  <c r="R282" i="30" s="1"/>
  <c r="M158" i="30"/>
  <c r="M159" i="30"/>
  <c r="M160" i="30"/>
  <c r="M288" i="30"/>
  <c r="R288" i="30" s="1"/>
  <c r="M286" i="30"/>
  <c r="R286" i="30" s="1"/>
  <c r="M291" i="30"/>
  <c r="R291" i="30" s="1"/>
  <c r="M290" i="30"/>
  <c r="R290" i="30" s="1"/>
  <c r="M188" i="30"/>
  <c r="R188" i="30" s="1"/>
  <c r="M186" i="30"/>
  <c r="R186" i="30" s="1"/>
  <c r="M172" i="30"/>
  <c r="R172" i="30" s="1"/>
  <c r="M170" i="30"/>
  <c r="R170" i="30" s="1"/>
  <c r="M184" i="30"/>
  <c r="R184" i="30" s="1"/>
  <c r="M182" i="30"/>
  <c r="R182" i="30" s="1"/>
  <c r="M164" i="30"/>
  <c r="R164" i="30" s="1"/>
  <c r="M162" i="30"/>
  <c r="R162" i="30" s="1"/>
  <c r="M243" i="30"/>
  <c r="M244" i="30"/>
  <c r="R244" i="30" s="1"/>
  <c r="M242" i="30"/>
  <c r="R242" i="30" s="1"/>
  <c r="G296" i="30"/>
  <c r="G332" i="30" s="1"/>
  <c r="H296" i="30"/>
  <c r="H332" i="30" s="1"/>
  <c r="I296" i="30"/>
  <c r="I332" i="30" s="1"/>
  <c r="J296" i="30"/>
  <c r="K296" i="30"/>
  <c r="L296" i="30"/>
  <c r="L328" i="30" s="1"/>
  <c r="F296" i="30"/>
  <c r="N294" i="30"/>
  <c r="N330" i="30" s="1"/>
  <c r="G294" i="30"/>
  <c r="G330" i="30" s="1"/>
  <c r="H294" i="30"/>
  <c r="H330" i="30" s="1"/>
  <c r="I294" i="30"/>
  <c r="J294" i="30"/>
  <c r="K294" i="30"/>
  <c r="L294" i="30"/>
  <c r="L326" i="30" s="1"/>
  <c r="F294" i="30"/>
  <c r="F330" i="30" s="1"/>
  <c r="M300" i="30"/>
  <c r="R300" i="30" s="1"/>
  <c r="M298" i="30"/>
  <c r="R298" i="30" s="1"/>
  <c r="M304" i="30"/>
  <c r="R304" i="30" s="1"/>
  <c r="M302" i="30"/>
  <c r="R302" i="30" s="1"/>
  <c r="M349" i="30"/>
  <c r="R349" i="30" s="1"/>
  <c r="M347" i="30"/>
  <c r="R347" i="30" s="1"/>
  <c r="M166" i="30"/>
  <c r="R166" i="30" s="1"/>
  <c r="M167" i="30"/>
  <c r="R167" i="30" s="1"/>
  <c r="M168" i="30"/>
  <c r="R168" i="30" s="1"/>
  <c r="M169" i="30"/>
  <c r="M220" i="30"/>
  <c r="R220" i="30" s="1"/>
  <c r="M218" i="30"/>
  <c r="R218" i="30" s="1"/>
  <c r="H194" i="30"/>
  <c r="G196" i="30"/>
  <c r="I196" i="30"/>
  <c r="J196" i="30"/>
  <c r="K196" i="30"/>
  <c r="L196" i="30"/>
  <c r="G195" i="30"/>
  <c r="I195" i="30"/>
  <c r="J195" i="30"/>
  <c r="K195" i="30"/>
  <c r="L195" i="30"/>
  <c r="F195" i="30"/>
  <c r="F196" i="30"/>
  <c r="G194" i="30"/>
  <c r="I194" i="30"/>
  <c r="J194" i="30"/>
  <c r="K194" i="30"/>
  <c r="L194" i="30"/>
  <c r="F194" i="30"/>
  <c r="H191" i="30"/>
  <c r="F122" i="30"/>
  <c r="M122" i="30" s="1"/>
  <c r="R122" i="30" s="1"/>
  <c r="F124" i="30"/>
  <c r="M124" i="30" s="1"/>
  <c r="R124" i="30" s="1"/>
  <c r="N38" i="30"/>
  <c r="N14" i="30" s="1"/>
  <c r="N39" i="30"/>
  <c r="N15" i="30" s="1"/>
  <c r="N111" i="30" s="1"/>
  <c r="N361" i="30" s="1"/>
  <c r="N37" i="30"/>
  <c r="N13" i="30" s="1"/>
  <c r="M41" i="30"/>
  <c r="R41" i="30" s="1"/>
  <c r="M42" i="30"/>
  <c r="R42" i="30" s="1"/>
  <c r="M43" i="30"/>
  <c r="R43" i="30" s="1"/>
  <c r="M19" i="30"/>
  <c r="F139" i="30"/>
  <c r="H45" i="30" l="1"/>
  <c r="M212" i="30"/>
  <c r="R212" i="30" s="1"/>
  <c r="F208" i="30"/>
  <c r="M208" i="30" s="1"/>
  <c r="R208" i="30" s="1"/>
  <c r="F332" i="30"/>
  <c r="H70" i="30"/>
  <c r="R340" i="30"/>
  <c r="G326" i="30"/>
  <c r="G359" i="30"/>
  <c r="G355" i="30" s="1"/>
  <c r="G371" i="30" s="1"/>
  <c r="F68" i="52"/>
  <c r="F78" i="52" s="1"/>
  <c r="G820" i="50"/>
  <c r="F359" i="30"/>
  <c r="I330" i="30"/>
  <c r="I328" i="30"/>
  <c r="F135" i="30"/>
  <c r="F127" i="30"/>
  <c r="H326" i="30"/>
  <c r="H361" i="30"/>
  <c r="G328" i="30"/>
  <c r="H196" i="30"/>
  <c r="H340" i="30"/>
  <c r="R160" i="30"/>
  <c r="R152" i="30"/>
  <c r="R158" i="30"/>
  <c r="R150" i="30"/>
  <c r="R159" i="30"/>
  <c r="F326" i="30"/>
  <c r="M330" i="30"/>
  <c r="N326" i="30"/>
  <c r="G105" i="30"/>
  <c r="M21" i="30"/>
  <c r="R21" i="30" s="1"/>
  <c r="L11" i="30"/>
  <c r="L111" i="30"/>
  <c r="L361" i="30" s="1"/>
  <c r="F105" i="30"/>
  <c r="I11" i="30"/>
  <c r="I111" i="30"/>
  <c r="I361" i="30" s="1"/>
  <c r="I9" i="30"/>
  <c r="N9" i="30"/>
  <c r="N109" i="30"/>
  <c r="N105" i="30" s="1"/>
  <c r="K9" i="30"/>
  <c r="J9" i="30"/>
  <c r="L10" i="30"/>
  <c r="L110" i="30"/>
  <c r="L360" i="30" s="1"/>
  <c r="J11" i="30"/>
  <c r="J111" i="30"/>
  <c r="G9" i="30"/>
  <c r="H14" i="30"/>
  <c r="K10" i="30"/>
  <c r="K110" i="30"/>
  <c r="K360" i="30" s="1"/>
  <c r="I10" i="30"/>
  <c r="I110" i="30"/>
  <c r="K11" i="30"/>
  <c r="K111" i="30"/>
  <c r="K361" i="30" s="1"/>
  <c r="M196" i="30"/>
  <c r="R196" i="30" s="1"/>
  <c r="N10" i="30"/>
  <c r="L9" i="30"/>
  <c r="H9" i="30"/>
  <c r="H109" i="30"/>
  <c r="H359" i="30" s="1"/>
  <c r="H355" i="30" s="1"/>
  <c r="H371" i="30" s="1"/>
  <c r="J10" i="30"/>
  <c r="J110" i="30"/>
  <c r="J360" i="30" s="1"/>
  <c r="H11" i="30"/>
  <c r="M81" i="30"/>
  <c r="R81" i="30" s="1"/>
  <c r="M194" i="30"/>
  <c r="R194" i="30" s="1"/>
  <c r="M23" i="30"/>
  <c r="R23" i="30" s="1"/>
  <c r="M83" i="30"/>
  <c r="R83" i="30" s="1"/>
  <c r="G15" i="30"/>
  <c r="G111" i="30" s="1"/>
  <c r="G361" i="30" s="1"/>
  <c r="G357" i="30" s="1"/>
  <c r="G373" i="30" s="1"/>
  <c r="M82" i="30"/>
  <c r="R82" i="30" s="1"/>
  <c r="R79" i="30"/>
  <c r="R75" i="30"/>
  <c r="R51" i="30"/>
  <c r="R77" i="30"/>
  <c r="R53" i="30"/>
  <c r="K30" i="32" s="1"/>
  <c r="R73" i="30"/>
  <c r="H57" i="30"/>
  <c r="M57" i="30" s="1"/>
  <c r="R57" i="30" s="1"/>
  <c r="M59" i="30"/>
  <c r="R59" i="30" s="1"/>
  <c r="M71" i="30"/>
  <c r="R71" i="30" s="1"/>
  <c r="M69" i="30"/>
  <c r="R69" i="30" s="1"/>
  <c r="F15" i="30"/>
  <c r="F14" i="30"/>
  <c r="F22" i="30"/>
  <c r="G11" i="30"/>
  <c r="M13" i="30"/>
  <c r="F9" i="30"/>
  <c r="M27" i="30"/>
  <c r="R27" i="30" s="1"/>
  <c r="M308" i="30"/>
  <c r="R308" i="30" s="1"/>
  <c r="M294" i="30"/>
  <c r="R294" i="30" s="1"/>
  <c r="M296" i="30"/>
  <c r="M38" i="30"/>
  <c r="R38" i="30" s="1"/>
  <c r="M39" i="30"/>
  <c r="R39" i="30" s="1"/>
  <c r="M37" i="30"/>
  <c r="R37" i="30" s="1"/>
  <c r="J344" i="30"/>
  <c r="J352" i="30" s="1"/>
  <c r="K44" i="32" l="1"/>
  <c r="N44" i="32" s="1"/>
  <c r="N30" i="32"/>
  <c r="K46" i="32"/>
  <c r="R330" i="30"/>
  <c r="H369" i="30"/>
  <c r="H357" i="30" s="1"/>
  <c r="M340" i="30"/>
  <c r="M369" i="30" s="1"/>
  <c r="N359" i="30"/>
  <c r="N355" i="30" s="1"/>
  <c r="N371" i="30" s="1"/>
  <c r="H820" i="50"/>
  <c r="D154" i="2"/>
  <c r="E154" i="2" s="1"/>
  <c r="G832" i="50"/>
  <c r="H328" i="30"/>
  <c r="I326" i="30"/>
  <c r="M344" i="30"/>
  <c r="R344" i="30" s="1"/>
  <c r="J107" i="30"/>
  <c r="G107" i="30"/>
  <c r="F799" i="50"/>
  <c r="I106" i="30"/>
  <c r="L106" i="30"/>
  <c r="K107" i="30"/>
  <c r="K357" i="30"/>
  <c r="K373" i="30" s="1"/>
  <c r="K106" i="30"/>
  <c r="L107" i="30"/>
  <c r="L357" i="30"/>
  <c r="L373" i="30" s="1"/>
  <c r="H105" i="30"/>
  <c r="J106" i="30"/>
  <c r="I107" i="30"/>
  <c r="I357" i="30"/>
  <c r="M9" i="30"/>
  <c r="R9" i="30" s="1"/>
  <c r="F10" i="30"/>
  <c r="F11" i="30"/>
  <c r="F111" i="30"/>
  <c r="F361" i="30" s="1"/>
  <c r="F357" i="30" s="1"/>
  <c r="F373" i="30" s="1"/>
  <c r="H10" i="30"/>
  <c r="M15" i="30"/>
  <c r="M11" i="30"/>
  <c r="N139" i="30"/>
  <c r="N127" i="30" s="1"/>
  <c r="E10" i="52"/>
  <c r="N191" i="30"/>
  <c r="E39" i="52"/>
  <c r="N187" i="30"/>
  <c r="F803" i="50" l="1"/>
  <c r="H803" i="50" s="1"/>
  <c r="H373" i="30"/>
  <c r="F807" i="50"/>
  <c r="I373" i="30"/>
  <c r="F795" i="50"/>
  <c r="H832" i="50"/>
  <c r="D166" i="2"/>
  <c r="G840" i="50"/>
  <c r="D178" i="2" s="1"/>
  <c r="D91" i="2" s="1"/>
  <c r="C141" i="2"/>
  <c r="E141" i="2" s="1"/>
  <c r="H807" i="50"/>
  <c r="C137" i="2"/>
  <c r="E137" i="2" s="1"/>
  <c r="C133" i="2"/>
  <c r="E133" i="2" s="1"/>
  <c r="H799" i="50"/>
  <c r="N123" i="30"/>
  <c r="E15" i="52" s="1"/>
  <c r="E9" i="52" s="1"/>
  <c r="N135" i="30"/>
  <c r="M111" i="30"/>
  <c r="R111" i="30" s="1"/>
  <c r="E16" i="52"/>
  <c r="E60" i="52"/>
  <c r="E67" i="52"/>
  <c r="H211" i="30"/>
  <c r="H207" i="30" s="1"/>
  <c r="G215" i="30"/>
  <c r="G211" i="30"/>
  <c r="F207" i="30"/>
  <c r="I267" i="30"/>
  <c r="H263" i="30"/>
  <c r="H203" i="30"/>
  <c r="F187" i="30"/>
  <c r="H171" i="30"/>
  <c r="H179" i="30"/>
  <c r="M179" i="30" s="1"/>
  <c r="G187" i="30"/>
  <c r="H319" i="30"/>
  <c r="M319" i="30" s="1"/>
  <c r="R319" i="30" s="1"/>
  <c r="J292" i="30"/>
  <c r="J256" i="30" s="1"/>
  <c r="J332" i="30" s="1"/>
  <c r="J361" i="30" s="1"/>
  <c r="H187" i="30"/>
  <c r="E20" i="52"/>
  <c r="E19" i="52" s="1"/>
  <c r="H303" i="30"/>
  <c r="G299" i="30"/>
  <c r="G303" i="30" s="1"/>
  <c r="F303" i="30"/>
  <c r="F299" i="30"/>
  <c r="H219" i="30"/>
  <c r="F219" i="30"/>
  <c r="F339" i="30" s="1"/>
  <c r="E38" i="52"/>
  <c r="F595" i="50"/>
  <c r="H195" i="30" l="1"/>
  <c r="M195" i="30" s="1"/>
  <c r="R195" i="30" s="1"/>
  <c r="M203" i="30"/>
  <c r="R203" i="30" s="1"/>
  <c r="H795" i="50"/>
  <c r="C129" i="2"/>
  <c r="E129" i="2" s="1"/>
  <c r="M215" i="30"/>
  <c r="R215" i="30" s="1"/>
  <c r="G339" i="30"/>
  <c r="G368" i="30" s="1"/>
  <c r="D170" i="2"/>
  <c r="E166" i="2"/>
  <c r="D26" i="54"/>
  <c r="I26" i="54" s="1"/>
  <c r="E59" i="52"/>
  <c r="E18" i="52"/>
  <c r="N303" i="30"/>
  <c r="N295" i="30" s="1"/>
  <c r="J328" i="30"/>
  <c r="M353" i="30" s="1"/>
  <c r="M332" i="30"/>
  <c r="M361" i="30" s="1"/>
  <c r="R361" i="30" s="1"/>
  <c r="F587" i="50"/>
  <c r="H595" i="50"/>
  <c r="M267" i="30"/>
  <c r="R267" i="30" s="1"/>
  <c r="I255" i="30"/>
  <c r="I251" i="30" s="1"/>
  <c r="J252" i="30"/>
  <c r="M252" i="30" s="1"/>
  <c r="R252" i="30" s="1"/>
  <c r="M256" i="30"/>
  <c r="R256" i="30" s="1"/>
  <c r="J357" i="30"/>
  <c r="M263" i="30"/>
  <c r="R263" i="30" s="1"/>
  <c r="H259" i="30"/>
  <c r="H339" i="30" s="1"/>
  <c r="M163" i="30"/>
  <c r="M211" i="30"/>
  <c r="M219" i="30"/>
  <c r="R219" i="30" s="1"/>
  <c r="M292" i="30"/>
  <c r="M187" i="30"/>
  <c r="R187" i="30" s="1"/>
  <c r="G207" i="30"/>
  <c r="M207" i="30" s="1"/>
  <c r="R207" i="30" s="1"/>
  <c r="G74" i="30"/>
  <c r="M357" i="30" l="1"/>
  <c r="J373" i="30"/>
  <c r="M373" i="30" s="1"/>
  <c r="M339" i="30"/>
  <c r="H368" i="30"/>
  <c r="R353" i="30"/>
  <c r="F836" i="50"/>
  <c r="F811" i="50"/>
  <c r="M328" i="30"/>
  <c r="R163" i="30"/>
  <c r="R151" i="30"/>
  <c r="H587" i="50"/>
  <c r="H539" i="50" s="1"/>
  <c r="F539" i="50"/>
  <c r="R296" i="30"/>
  <c r="G50" i="30"/>
  <c r="G46" i="30" s="1"/>
  <c r="G70" i="30"/>
  <c r="G58" i="30"/>
  <c r="F78" i="30"/>
  <c r="F54" i="30" s="1"/>
  <c r="M54" i="30" s="1"/>
  <c r="H98" i="30"/>
  <c r="E40" i="52"/>
  <c r="F784" i="50" l="1"/>
  <c r="C54" i="2"/>
  <c r="H836" i="50"/>
  <c r="C174" i="2"/>
  <c r="E174" i="2" s="1"/>
  <c r="C145" i="2"/>
  <c r="E145" i="2" s="1"/>
  <c r="H811" i="50"/>
  <c r="F815" i="50"/>
  <c r="R332" i="30"/>
  <c r="H94" i="30"/>
  <c r="M94" i="30" s="1"/>
  <c r="M98" i="30"/>
  <c r="H110" i="30"/>
  <c r="F74" i="30"/>
  <c r="F118" i="30"/>
  <c r="F368" i="30" s="1"/>
  <c r="M78" i="30"/>
  <c r="C82" i="2" l="1"/>
  <c r="C50" i="2"/>
  <c r="E50" i="2" s="1"/>
  <c r="E54" i="2"/>
  <c r="H784" i="50"/>
  <c r="F788" i="50"/>
  <c r="R328" i="30"/>
  <c r="H815" i="50"/>
  <c r="C149" i="2"/>
  <c r="E149" i="2" s="1"/>
  <c r="F840" i="50"/>
  <c r="C178" i="2" s="1"/>
  <c r="H106" i="30"/>
  <c r="M118" i="30"/>
  <c r="F107" i="30"/>
  <c r="M107" i="30" s="1"/>
  <c r="F50" i="30"/>
  <c r="M50" i="30" s="1"/>
  <c r="F70" i="30"/>
  <c r="M70" i="30" s="1"/>
  <c r="R70" i="30" s="1"/>
  <c r="M74" i="30"/>
  <c r="R74" i="30" s="1"/>
  <c r="R78" i="30"/>
  <c r="R54" i="30"/>
  <c r="H183" i="30"/>
  <c r="M183" i="30" s="1"/>
  <c r="R183" i="30" s="1"/>
  <c r="F295" i="30"/>
  <c r="K47" i="32" l="1"/>
  <c r="N31" i="32"/>
  <c r="R118" i="30"/>
  <c r="M368" i="30"/>
  <c r="R368" i="30" s="1"/>
  <c r="E82" i="2"/>
  <c r="C86" i="2"/>
  <c r="E178" i="2"/>
  <c r="C91" i="2"/>
  <c r="E91" i="2" s="1"/>
  <c r="C170" i="2"/>
  <c r="E170" i="2" s="1"/>
  <c r="H840" i="50"/>
  <c r="F46" i="30"/>
  <c r="M46" i="30" s="1"/>
  <c r="R46" i="30" s="1"/>
  <c r="F110" i="30"/>
  <c r="F106" i="30" s="1"/>
  <c r="F191" i="30"/>
  <c r="M191" i="30" s="1"/>
  <c r="R191" i="30" s="1"/>
  <c r="E86" i="2" l="1"/>
  <c r="C119" i="2"/>
  <c r="E119" i="2" s="1"/>
  <c r="E65" i="52"/>
  <c r="N231" i="30"/>
  <c r="R231" i="30" s="1"/>
  <c r="G34" i="30" l="1"/>
  <c r="G26" i="30" l="1"/>
  <c r="M34" i="30"/>
  <c r="R34" i="30" s="1"/>
  <c r="E63" i="52"/>
  <c r="E62" i="52" s="1"/>
  <c r="E24" i="52"/>
  <c r="E56" i="52"/>
  <c r="G22" i="30" l="1"/>
  <c r="M22" i="30" s="1"/>
  <c r="R22" i="30" s="1"/>
  <c r="G14" i="30"/>
  <c r="M26" i="30"/>
  <c r="R26" i="30" s="1"/>
  <c r="N283" i="30"/>
  <c r="N255" i="30" s="1"/>
  <c r="N251" i="30" l="1"/>
  <c r="G10" i="30"/>
  <c r="G110" i="30"/>
  <c r="M106" i="30" l="1"/>
  <c r="M110" i="30"/>
  <c r="N98" i="30"/>
  <c r="E57" i="52"/>
  <c r="M348" i="30"/>
  <c r="R348" i="30" s="1"/>
  <c r="N94" i="30" l="1"/>
  <c r="N110" i="30"/>
  <c r="N106" i="30" s="1"/>
  <c r="R98" i="30"/>
  <c r="N239" i="30"/>
  <c r="E27" i="52"/>
  <c r="E35" i="52" s="1"/>
  <c r="E26" i="52" l="1"/>
  <c r="N179" i="30"/>
  <c r="R179" i="30" l="1"/>
  <c r="G171" i="30"/>
  <c r="F307" i="30"/>
  <c r="F283" i="30"/>
  <c r="F255" i="30" s="1"/>
  <c r="F171" i="30"/>
  <c r="N19" i="30"/>
  <c r="F331" i="30" l="1"/>
  <c r="F251" i="30"/>
  <c r="N11" i="30"/>
  <c r="N119" i="30"/>
  <c r="G307" i="30"/>
  <c r="M307" i="30" s="1"/>
  <c r="R307" i="30" s="1"/>
  <c r="G283" i="30"/>
  <c r="M171" i="30"/>
  <c r="R171" i="30" s="1"/>
  <c r="E37" i="52"/>
  <c r="E8" i="52" s="1"/>
  <c r="F360" i="30" l="1"/>
  <c r="F356" i="30" s="1"/>
  <c r="N369" i="30"/>
  <c r="N357" i="30" s="1"/>
  <c r="N107" i="30"/>
  <c r="R107" i="30" s="1"/>
  <c r="M283" i="30"/>
  <c r="R283" i="30" s="1"/>
  <c r="G255" i="30"/>
  <c r="F794" i="50" l="1"/>
  <c r="C128" i="2" s="1"/>
  <c r="E128" i="2" s="1"/>
  <c r="F372" i="30"/>
  <c r="G251" i="30"/>
  <c r="H794" i="50" l="1"/>
  <c r="R357" i="30"/>
  <c r="N373" i="30"/>
  <c r="R373" i="30" s="1"/>
  <c r="H295" i="30"/>
  <c r="Q8" i="30" l="1"/>
  <c r="P14" i="30"/>
  <c r="P8" i="30" l="1"/>
  <c r="P10" i="30"/>
  <c r="G139" i="30" l="1"/>
  <c r="G127" i="30" s="1"/>
  <c r="M127" i="30" s="1"/>
  <c r="R127" i="30" s="1"/>
  <c r="O19" i="30"/>
  <c r="O14" i="30"/>
  <c r="O10" i="30" s="1"/>
  <c r="G135" i="30" l="1"/>
  <c r="M135" i="30" s="1"/>
  <c r="R135" i="30" s="1"/>
  <c r="M139" i="30"/>
  <c r="O11" i="30"/>
  <c r="R11" i="30" s="1"/>
  <c r="O119" i="30"/>
  <c r="F58" i="30"/>
  <c r="O8" i="30"/>
  <c r="R119" i="30" l="1"/>
  <c r="O369" i="30"/>
  <c r="R369" i="30" s="1"/>
  <c r="N243" i="30"/>
  <c r="R243" i="30" s="1"/>
  <c r="E55" i="52"/>
  <c r="E54" i="52" l="1"/>
  <c r="N235" i="30" s="1"/>
  <c r="R235" i="30" s="1"/>
  <c r="O115" i="30"/>
  <c r="R115" i="30" s="1"/>
  <c r="O110" i="30"/>
  <c r="O360" i="30" s="1"/>
  <c r="L123" i="30"/>
  <c r="F123" i="30"/>
  <c r="M132" i="30"/>
  <c r="B231" i="30"/>
  <c r="B235" i="30" s="1"/>
  <c r="B239" i="30" s="1"/>
  <c r="B243" i="30" s="1"/>
  <c r="B247" i="30" s="1"/>
  <c r="I123" i="30" l="1"/>
  <c r="O106" i="30"/>
  <c r="O123" i="30" l="1"/>
  <c r="P123" i="30"/>
  <c r="Q123" i="30"/>
  <c r="G16" i="50"/>
  <c r="F16" i="50"/>
  <c r="H272" i="50"/>
  <c r="M303" i="30"/>
  <c r="R303" i="30" s="1"/>
  <c r="M299" i="30"/>
  <c r="R299" i="30" s="1"/>
  <c r="M145" i="30"/>
  <c r="R145" i="30" s="1"/>
  <c r="M153" i="30" l="1"/>
  <c r="R153" i="30" s="1"/>
  <c r="M259" i="30"/>
  <c r="R259" i="30" s="1"/>
  <c r="R339" i="30" s="1"/>
  <c r="M149" i="30" l="1"/>
  <c r="R149" i="30" s="1"/>
  <c r="R247" i="30" l="1"/>
  <c r="K327" i="30"/>
  <c r="M239" i="30"/>
  <c r="R239" i="30" s="1"/>
  <c r="E44" i="2" l="1"/>
  <c r="H287" i="30"/>
  <c r="H255" i="30" s="1"/>
  <c r="H331" i="30" s="1"/>
  <c r="H360" i="30" l="1"/>
  <c r="H356" i="30" s="1"/>
  <c r="H372" i="30" s="1"/>
  <c r="H327" i="30"/>
  <c r="M287" i="30"/>
  <c r="R287" i="30" s="1"/>
  <c r="F797" i="50"/>
  <c r="H797" i="50" l="1"/>
  <c r="C131" i="2"/>
  <c r="E131" i="2" s="1"/>
  <c r="H251" i="30"/>
  <c r="M251" i="30" s="1"/>
  <c r="R251" i="30" s="1"/>
  <c r="M255" i="30"/>
  <c r="R255" i="30" s="1"/>
  <c r="F802" i="50"/>
  <c r="F355" i="30"/>
  <c r="F793" i="50" l="1"/>
  <c r="H793" i="50" s="1"/>
  <c r="F371" i="30"/>
  <c r="C136" i="2"/>
  <c r="E136" i="2" s="1"/>
  <c r="H802" i="50"/>
  <c r="C127" i="2"/>
  <c r="E127" i="2" s="1"/>
  <c r="R19" i="30"/>
  <c r="G295" i="30"/>
  <c r="I295" i="30"/>
  <c r="I331" i="30" s="1"/>
  <c r="J295" i="30"/>
  <c r="K295" i="30"/>
  <c r="K356" i="30" s="1"/>
  <c r="K372" i="30" s="1"/>
  <c r="L295" i="30"/>
  <c r="I327" i="30" l="1"/>
  <c r="I360" i="30"/>
  <c r="I356" i="30" s="1"/>
  <c r="I372" i="30" s="1"/>
  <c r="L356" i="30"/>
  <c r="L372" i="30" s="1"/>
  <c r="L327" i="30"/>
  <c r="G331" i="30"/>
  <c r="J356" i="30"/>
  <c r="J372" i="30" s="1"/>
  <c r="J327" i="30"/>
  <c r="M295" i="30"/>
  <c r="G123" i="30"/>
  <c r="H260" i="50"/>
  <c r="M103" i="30"/>
  <c r="R103" i="30" s="1"/>
  <c r="O94" i="30"/>
  <c r="P94" i="30"/>
  <c r="Q94" i="30"/>
  <c r="M352" i="30" l="1"/>
  <c r="G360" i="30"/>
  <c r="G356" i="30" s="1"/>
  <c r="F810" i="50"/>
  <c r="G327" i="30"/>
  <c r="M331" i="30"/>
  <c r="M360" i="30" s="1"/>
  <c r="F806" i="50"/>
  <c r="R94" i="30"/>
  <c r="M10" i="30"/>
  <c r="R10" i="30" s="1"/>
  <c r="M14" i="30"/>
  <c r="R14" i="30" s="1"/>
  <c r="F798" i="50" l="1"/>
  <c r="C132" i="2" s="1"/>
  <c r="E132" i="2" s="1"/>
  <c r="G372" i="30"/>
  <c r="M372" i="30" s="1"/>
  <c r="M356" i="30"/>
  <c r="R352" i="30"/>
  <c r="F835" i="50"/>
  <c r="H810" i="50"/>
  <c r="C144" i="2"/>
  <c r="E144" i="2" s="1"/>
  <c r="M327" i="30"/>
  <c r="C140" i="2"/>
  <c r="E140" i="2" s="1"/>
  <c r="H806" i="50"/>
  <c r="F814" i="50" l="1"/>
  <c r="F839" i="50" s="1"/>
  <c r="H798" i="50"/>
  <c r="H835" i="50"/>
  <c r="C173" i="2"/>
  <c r="E173" i="2" s="1"/>
  <c r="H58" i="30"/>
  <c r="I62" i="30"/>
  <c r="J62" i="30"/>
  <c r="K62" i="30"/>
  <c r="L62" i="30"/>
  <c r="C148" i="2" l="1"/>
  <c r="E148" i="2" s="1"/>
  <c r="H814" i="50"/>
  <c r="C177" i="2"/>
  <c r="C90" i="2" s="1"/>
  <c r="I49" i="30"/>
  <c r="I58" i="30"/>
  <c r="K49" i="30"/>
  <c r="K58" i="30"/>
  <c r="J49" i="30"/>
  <c r="J58" i="30"/>
  <c r="L49" i="30"/>
  <c r="M49" i="30" s="1"/>
  <c r="R49" i="30" s="1"/>
  <c r="K26" i="32" s="1"/>
  <c r="L58" i="30"/>
  <c r="K22" i="32" l="1"/>
  <c r="N22" i="32" s="1"/>
  <c r="K42" i="32"/>
  <c r="N42" i="32" s="1"/>
  <c r="C169" i="2"/>
  <c r="M58" i="30"/>
  <c r="R58" i="30" s="1"/>
  <c r="J45" i="30"/>
  <c r="J109" i="30"/>
  <c r="J359" i="30" s="1"/>
  <c r="J355" i="30" s="1"/>
  <c r="J371" i="30" s="1"/>
  <c r="L45" i="30"/>
  <c r="L109" i="30"/>
  <c r="L359" i="30" s="1"/>
  <c r="L355" i="30" s="1"/>
  <c r="L371" i="30" s="1"/>
  <c r="I45" i="30"/>
  <c r="I109" i="30"/>
  <c r="K45" i="30"/>
  <c r="K109" i="30"/>
  <c r="K359" i="30" s="1"/>
  <c r="K355" i="30" s="1"/>
  <c r="K371" i="30" s="1"/>
  <c r="E47" i="52"/>
  <c r="I359" i="30" l="1"/>
  <c r="I355" i="30" s="1"/>
  <c r="L105" i="30"/>
  <c r="K105" i="30"/>
  <c r="J105" i="30"/>
  <c r="I105" i="30"/>
  <c r="M109" i="30"/>
  <c r="M45" i="30"/>
  <c r="R45" i="30" s="1"/>
  <c r="E45" i="52"/>
  <c r="E46" i="52"/>
  <c r="N227" i="30"/>
  <c r="N223" i="30" s="1"/>
  <c r="N331" i="30" s="1"/>
  <c r="N360" i="30" s="1"/>
  <c r="R295" i="30"/>
  <c r="F805" i="50" l="1"/>
  <c r="H805" i="50" s="1"/>
  <c r="I371" i="30"/>
  <c r="M371" i="30" s="1"/>
  <c r="R371" i="30" s="1"/>
  <c r="R109" i="30"/>
  <c r="M359" i="30"/>
  <c r="R359" i="30" s="1"/>
  <c r="N356" i="30"/>
  <c r="R223" i="30"/>
  <c r="M105" i="30"/>
  <c r="R105" i="30" s="1"/>
  <c r="R227" i="30"/>
  <c r="C139" i="2" l="1"/>
  <c r="E139" i="2" s="1"/>
  <c r="R356" i="30"/>
  <c r="N372" i="30"/>
  <c r="R372" i="30" s="1"/>
  <c r="R331" i="30"/>
  <c r="N327" i="30"/>
  <c r="M123" i="30"/>
  <c r="R123" i="30" s="1"/>
  <c r="R327" i="30" l="1"/>
  <c r="M258" i="30"/>
  <c r="R258" i="30" s="1"/>
  <c r="R338" i="30" s="1"/>
  <c r="M355" i="30" l="1"/>
  <c r="R355" i="30" s="1"/>
  <c r="F801" i="50"/>
  <c r="H801" i="50" l="1"/>
  <c r="C135" i="2"/>
  <c r="E135" i="2" s="1"/>
  <c r="S123" i="30" l="1"/>
  <c r="H788" i="50" l="1"/>
  <c r="P110" i="30" l="1"/>
  <c r="P360" i="30" s="1"/>
  <c r="Q110" i="30"/>
  <c r="Q360" i="30" s="1"/>
  <c r="P106" i="30"/>
  <c r="Q106" i="30"/>
  <c r="R106" i="30" l="1"/>
  <c r="R360" i="30"/>
  <c r="R110" i="30"/>
  <c r="M143" i="30" l="1"/>
  <c r="R143" i="30" s="1"/>
  <c r="S251" i="30" l="1"/>
  <c r="E72" i="52"/>
  <c r="E74" i="52"/>
  <c r="M313" i="30"/>
  <c r="R292" i="30"/>
  <c r="R139" i="30"/>
  <c r="E61" i="52" l="1"/>
  <c r="G823" i="50" s="1"/>
  <c r="R313" i="30"/>
  <c r="E70" i="52"/>
  <c r="E77" i="52" s="1"/>
  <c r="D157" i="2" l="1"/>
  <c r="E157" i="2" s="1"/>
  <c r="H823" i="50"/>
  <c r="H789" i="50"/>
  <c r="C142" i="2" l="1"/>
  <c r="E142" i="2" s="1"/>
  <c r="M63" i="30" l="1"/>
  <c r="R63" i="30" l="1"/>
  <c r="R50" i="30"/>
  <c r="K43" i="32" l="1"/>
  <c r="N27" i="32"/>
  <c r="K23" i="32"/>
  <c r="R66" i="30"/>
  <c r="M62" i="30"/>
  <c r="N43" i="32" l="1"/>
  <c r="K39" i="32"/>
  <c r="N23" i="32"/>
  <c r="R62" i="30"/>
  <c r="E146" i="2" l="1"/>
  <c r="C167" i="2" l="1"/>
  <c r="R211" i="30" l="1"/>
  <c r="E68" i="52" l="1"/>
  <c r="E78" i="52" s="1"/>
  <c r="G819" i="50"/>
  <c r="D153" i="2" l="1"/>
  <c r="E153" i="2" s="1"/>
  <c r="H819" i="50"/>
  <c r="G831" i="50"/>
  <c r="H831" i="50" l="1"/>
  <c r="D165" i="2"/>
  <c r="G839" i="50"/>
  <c r="D167" i="2"/>
  <c r="E167" i="2" s="1"/>
  <c r="D169" i="2" l="1"/>
  <c r="E169" i="2" s="1"/>
  <c r="E165" i="2"/>
  <c r="D177" i="2"/>
  <c r="H839" i="50"/>
  <c r="N46" i="32"/>
  <c r="K38" i="32"/>
  <c r="F38" i="32"/>
  <c r="H38" i="32"/>
  <c r="D40" i="32"/>
  <c r="N40" i="32" s="1"/>
  <c r="N48" i="32"/>
  <c r="L38" i="32"/>
  <c r="N39" i="32"/>
  <c r="N47" i="32"/>
  <c r="E38" i="32"/>
  <c r="J38" i="32"/>
  <c r="G38" i="32"/>
  <c r="I38" i="32"/>
  <c r="M38" i="32"/>
  <c r="E177" i="2" l="1"/>
  <c r="D90" i="2"/>
  <c r="E90" i="2" s="1"/>
  <c r="N38" i="32"/>
  <c r="M338" i="30"/>
  <c r="M367" i="30" s="1"/>
  <c r="R367" i="30" s="1"/>
  <c r="J326" i="30"/>
  <c r="M351" i="30" s="1"/>
  <c r="R351" i="30" l="1"/>
  <c r="F834" i="50"/>
  <c r="C172" i="2" s="1"/>
  <c r="E172" i="2" s="1"/>
  <c r="F809" i="50"/>
  <c r="C143" i="2" s="1"/>
  <c r="E143" i="2" s="1"/>
  <c r="M326" i="30"/>
  <c r="R326" i="30" s="1"/>
  <c r="F813" i="50" l="1"/>
  <c r="F838" i="50" s="1"/>
  <c r="H809" i="50"/>
  <c r="H813" i="50" l="1"/>
  <c r="C147" i="2"/>
  <c r="E147" i="2" s="1"/>
  <c r="C176" i="2"/>
  <c r="H838" i="50"/>
  <c r="E176" i="2" l="1"/>
  <c r="C89" i="2"/>
  <c r="E89" i="2" s="1"/>
  <c r="C168" i="2"/>
  <c r="E168" i="2" s="1"/>
</calcChain>
</file>

<file path=xl/sharedStrings.xml><?xml version="1.0" encoding="utf-8"?>
<sst xmlns="http://schemas.openxmlformats.org/spreadsheetml/2006/main" count="2582" uniqueCount="731">
  <si>
    <t xml:space="preserve">Közfoglalkoztatás </t>
  </si>
  <si>
    <t>ÖSSZESEN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</si>
  <si>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</si>
  <si>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</si>
  <si>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</si>
  <si>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</si>
  <si>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</si>
  <si>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</si>
  <si>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</si>
  <si>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</si>
  <si>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</si>
  <si>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Személyi juttatások</t>
  </si>
  <si>
    <t>Dologi kiadások</t>
  </si>
  <si>
    <t>MEGNEVEZÉS</t>
  </si>
  <si>
    <t>Működési</t>
  </si>
  <si>
    <t>Felhalmozási</t>
  </si>
  <si>
    <t>Összesen</t>
  </si>
  <si>
    <t>célú</t>
  </si>
  <si>
    <t>BEVÉTELEK</t>
  </si>
  <si>
    <t>I.</t>
  </si>
  <si>
    <t>II.</t>
  </si>
  <si>
    <t>KIADÁSOK</t>
  </si>
  <si>
    <t>Beruházások</t>
  </si>
  <si>
    <t>Felújítások</t>
  </si>
  <si>
    <t>III.</t>
  </si>
  <si>
    <t>M E G N E V E Z É S</t>
  </si>
  <si>
    <t>Gépjárműadó</t>
  </si>
  <si>
    <t>Egyéb felhalmozási célú kiadások</t>
  </si>
  <si>
    <t>Cím</t>
  </si>
  <si>
    <t>Cím ,</t>
  </si>
  <si>
    <t>Személyi</t>
  </si>
  <si>
    <t>Dologi</t>
  </si>
  <si>
    <t>Beruházá-</t>
  </si>
  <si>
    <t>Alcím</t>
  </si>
  <si>
    <t xml:space="preserve">             alcím megnevezése</t>
  </si>
  <si>
    <t>kiadások</t>
  </si>
  <si>
    <t>célú kiadások</t>
  </si>
  <si>
    <t>sok, felújí-</t>
  </si>
  <si>
    <t>Szám</t>
  </si>
  <si>
    <t>tások</t>
  </si>
  <si>
    <t>Város -és községgazdálkodási szolgáltatás</t>
  </si>
  <si>
    <t>Közvilágítás</t>
  </si>
  <si>
    <t>Ö S S Z E S E N</t>
  </si>
  <si>
    <t xml:space="preserve"> </t>
  </si>
  <si>
    <t xml:space="preserve">Felújítások </t>
  </si>
  <si>
    <t>Finanszírozási kiadások</t>
  </si>
  <si>
    <t>Adóigazgatási tevékenység</t>
  </si>
  <si>
    <t>1</t>
  </si>
  <si>
    <t>Közfoglalkoztatás</t>
  </si>
  <si>
    <t>Egyéb működési célú kiadások</t>
  </si>
  <si>
    <t>juttatások</t>
  </si>
  <si>
    <t>Ellátottak pénzbeli juttatásai</t>
  </si>
  <si>
    <t>Felhal-mozási</t>
  </si>
  <si>
    <t>Közhatalmi bevételek</t>
  </si>
  <si>
    <t>k</t>
  </si>
  <si>
    <t>ö</t>
  </si>
  <si>
    <t>Munkaadókat terhelő járulékok és szociális hozzájárulási adó</t>
  </si>
  <si>
    <t>Működési költségvetés</t>
  </si>
  <si>
    <t xml:space="preserve">Működési költségvetés összesen </t>
  </si>
  <si>
    <t>Felhalmozási költségvetés</t>
  </si>
  <si>
    <t xml:space="preserve">Felhalmozási költségvetés összesen </t>
  </si>
  <si>
    <t>Működési költségvetés összesen:</t>
  </si>
  <si>
    <t>Munkaadókat terhelő</t>
  </si>
  <si>
    <t>járulékok és szociális</t>
  </si>
  <si>
    <t>hozzájárulási adó</t>
  </si>
  <si>
    <t>Ebből: kötelező feladatellátás</t>
  </si>
  <si>
    <t>önként vállalt feladatok</t>
  </si>
  <si>
    <t>Európai Uniós forrásból finanszírozott támogatással megvalósuló programok, projektek</t>
  </si>
  <si>
    <t>Európai Uniós forrásból finanszírozott támogatással megvalósuló programokhoz, projektekhez történő hozzájárulás</t>
  </si>
  <si>
    <t>AZ ÖNKORMÁNYZAT ÁLTAL IRÁNYÍTOTT KÖLTSÉGVETÉSI SZERVEK  BEVÉTELEI</t>
  </si>
  <si>
    <t>Saját bevételből, hazai támogatásból megvalósuló programok, projektek</t>
  </si>
  <si>
    <t>állami (államigazgatási) feladat</t>
  </si>
  <si>
    <t>önként vállalt feladatokhoz</t>
  </si>
  <si>
    <t>ebből: kötelező feladatellátáshoz</t>
  </si>
  <si>
    <t>- általános működési támogatás</t>
  </si>
  <si>
    <t>BEVÉTELEK MINDÖSSZESEN (I.+II.+III.)</t>
  </si>
  <si>
    <t>Polgármesteri Hivatal pénzbeli és természetbeni ellátásai</t>
  </si>
  <si>
    <t>Civil szervezetek, személyek támogatása</t>
  </si>
  <si>
    <t>Saját bevételből, hazai támogatásból megvalósuló programok, projektek támogatása</t>
  </si>
  <si>
    <t>Rendszeres gyermekvédelmi kedvezmény</t>
  </si>
  <si>
    <t>rovat</t>
  </si>
  <si>
    <t>KÖLTSÉGVETÉSI BEVÉTELEK               (B1-7.)</t>
  </si>
  <si>
    <t>A</t>
  </si>
  <si>
    <t>B</t>
  </si>
  <si>
    <t>B111</t>
  </si>
  <si>
    <t>B112</t>
  </si>
  <si>
    <t>- egyes köznevelési feladatok támogatása</t>
  </si>
  <si>
    <t>B113</t>
  </si>
  <si>
    <t>B114</t>
  </si>
  <si>
    <t>- kulturális feladatok támogatása</t>
  </si>
  <si>
    <t>B115</t>
  </si>
  <si>
    <t>B116</t>
  </si>
  <si>
    <t>- kiegészítő támogatások</t>
  </si>
  <si>
    <t>B12. Elvonások és befizetések bevételei</t>
  </si>
  <si>
    <t>B13. Működési célú garancia- és kezességvállalásból származó megtérülések</t>
  </si>
  <si>
    <t>B14. Működési célú visszatérítendő támogatások, kölcsönök visszatérülése</t>
  </si>
  <si>
    <t>B15. Működési célú visszatérítendő támogatások, kölcsönök igénybevétele</t>
  </si>
  <si>
    <t>B16. Egyéb működési célú támogatások:</t>
  </si>
  <si>
    <t>Rendszeres gyermekvédelmi támogatás</t>
  </si>
  <si>
    <t>B31. Jövedelemadók</t>
  </si>
  <si>
    <t>B32. Szociális hozzájárulási adó és járulákok</t>
  </si>
  <si>
    <t>Magánszemélyek kommunális adója</t>
  </si>
  <si>
    <t>Iparűzési adó</t>
  </si>
  <si>
    <t>B36. Egyéb közhatalmi bevételek:</t>
  </si>
  <si>
    <t>B36</t>
  </si>
  <si>
    <t>B4. Működési bevételek</t>
  </si>
  <si>
    <t>B404</t>
  </si>
  <si>
    <t>B403</t>
  </si>
  <si>
    <t>B408</t>
  </si>
  <si>
    <t>B402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</si>
  <si>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</si>
  <si>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</si>
  <si>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</si>
  <si>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</si>
  <si>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KÖLTSÉGVETÉSI KIADÁSOK                                       (K1-8.)</t>
  </si>
  <si>
    <t>Működési költségvetés:</t>
  </si>
  <si>
    <t>K2.</t>
  </si>
  <si>
    <t>K5.</t>
  </si>
  <si>
    <t>Felhalmozási költségvetés:</t>
  </si>
  <si>
    <t>K6.</t>
  </si>
  <si>
    <t>K7.</t>
  </si>
  <si>
    <t>K8.</t>
  </si>
  <si>
    <t>Felhalmozási költségvetés összesen:</t>
  </si>
  <si>
    <t>K9.Finanszírozási kiadások:</t>
  </si>
  <si>
    <t xml:space="preserve">KIADÁSOK ÖSSZESEN </t>
  </si>
  <si>
    <t>KIADÁSOK MINDÖSSZESEN (I+II+III)</t>
  </si>
  <si>
    <t>Ellátottak</t>
  </si>
  <si>
    <t>pénzbeli</t>
  </si>
  <si>
    <t>juttatásai</t>
  </si>
  <si>
    <t>Felhalmozási célú átvett pénzeszközök</t>
  </si>
  <si>
    <t>Működési célú átvett pénzeszközök</t>
  </si>
  <si>
    <t>Működési célú támogatások államháztartáson belülről</t>
  </si>
  <si>
    <t>Felhalmozási célú támogatások államháztartáson belülről</t>
  </si>
  <si>
    <t>Működési bevételek</t>
  </si>
  <si>
    <t>Felhalmozási bevételek</t>
  </si>
  <si>
    <t>- szociális, gyermekjóléti és gyermekétkeztetési feladatok támogatása</t>
  </si>
  <si>
    <t>B3. Közhatalmi bevételek (B31.+…+B36.)</t>
  </si>
  <si>
    <t>B8131</t>
  </si>
  <si>
    <t>B33. Bérhez és foglalkoztatáshoz kapcsolódó adók</t>
  </si>
  <si>
    <t>Működési célú</t>
  </si>
  <si>
    <t>B1. Működési célú támogatások államháztartáson belülről (B11.+…+B16.):</t>
  </si>
  <si>
    <t>B401</t>
  </si>
  <si>
    <t>Egyéb működési bevételek</t>
  </si>
  <si>
    <t>B11. Önkormányzat működési támogatásai:</t>
  </si>
  <si>
    <t>B2. Felhalmozási célú támogatások államháztartáson belülről (B21.+…+B25) - Önkormányzat:</t>
  </si>
  <si>
    <t>B34. Vagyoni típusú adók - Önkormányzat:</t>
  </si>
  <si>
    <t>B35. Termékek és szolgáltatások adói - Önkormányzat:</t>
  </si>
  <si>
    <t>Működési célú támogatások államháztar-táson belülről     B1.</t>
  </si>
  <si>
    <t>Felhalmozási célú átvett pénzeszközök     B7.</t>
  </si>
  <si>
    <t>Működési bevételek    B4.</t>
  </si>
  <si>
    <t>Működési célú átvett pénzeszközök            B6.</t>
  </si>
  <si>
    <t>Felhalmozási célú támogatások államháztar-táson belülről      B2.</t>
  </si>
  <si>
    <t>Felhal-mozási     célú</t>
  </si>
  <si>
    <t xml:space="preserve">B16 </t>
  </si>
  <si>
    <t xml:space="preserve">B25 </t>
  </si>
  <si>
    <t>Kamatbevételek</t>
  </si>
  <si>
    <t>Szolgáltatások ellenértéke</t>
  </si>
  <si>
    <t>Áru- és készletértékesítés ellenértéke</t>
  </si>
  <si>
    <t>Közvetített szolgáltatások ellenértéke</t>
  </si>
  <si>
    <t>Egyéb közhatalmi bevételek</t>
  </si>
  <si>
    <t>Tulajdonosi bevételek</t>
  </si>
  <si>
    <t>B52-53</t>
  </si>
  <si>
    <t>államház-tartáson kívülre</t>
  </si>
  <si>
    <t>államház-tartáson belülre</t>
  </si>
  <si>
    <t>tarta-lékok</t>
  </si>
  <si>
    <t>Egyéb felhalmozás célú kiadások</t>
  </si>
  <si>
    <t>BERUHÁZÁSOK, FELÚJÍTÁSOK ÉS EGYÉB FELHALMOZÁSI</t>
  </si>
  <si>
    <t>JELLEGŰ KIADÁSOK, TÁMOGATÁSOK ÖSSZESEN</t>
  </si>
  <si>
    <t>Beruházások és felújítások összesen</t>
  </si>
  <si>
    <t>Önkormányzati hozzájárulás</t>
  </si>
  <si>
    <t>B407</t>
  </si>
  <si>
    <t>B406</t>
  </si>
  <si>
    <t>Ellátási díjak</t>
  </si>
  <si>
    <t>Kiszámlázott általános forgalmi adó</t>
  </si>
  <si>
    <t>B405</t>
  </si>
  <si>
    <t>k: kötelező, ö: önként vállalt, á: államigaz-gatás feladat</t>
  </si>
  <si>
    <t>k: kötelező, ö: önként vállalt, á: államigaz-gatási feladat</t>
  </si>
  <si>
    <t>k: kötelező, ö: önként vállalt, á: állam-igaz-gatási feladat</t>
  </si>
  <si>
    <t>KÖLTSÉGVETÉSI BEVÉTELEK ÖSSZESEN (I.+II.)</t>
  </si>
  <si>
    <t>Az Önkormányzat által irányított költségvetési szervek költségvetési bevételei</t>
  </si>
  <si>
    <t xml:space="preserve">KÖLTSÉGVETÉSI KIADÁSOK ÖSSZESEN </t>
  </si>
  <si>
    <t>Költségvetési egyenleg - hiány (Költségvetési bevételek összesen -Költségvetési kiadások összesen)</t>
  </si>
  <si>
    <t>Értékesítések</t>
  </si>
  <si>
    <t>Cím megnevezése</t>
  </si>
  <si>
    <t>Költségvetési bevételek B1-B7.</t>
  </si>
  <si>
    <t>Finanszírozási bevételek B8.</t>
  </si>
  <si>
    <t>Család- és nővédelmi egészségügyi gondozás</t>
  </si>
  <si>
    <t>OEP támogatás - védőnő</t>
  </si>
  <si>
    <t>MVH terület alapú támogatás</t>
  </si>
  <si>
    <t>Háziorvosi alapellátás</t>
  </si>
  <si>
    <t>Fogorvosi alapellátás</t>
  </si>
  <si>
    <t>Família Szociális Alapszolgáltatási Központ</t>
  </si>
  <si>
    <t>Csengődi Napközi Otthonos Óvoda</t>
  </si>
  <si>
    <t>Szociális tűzifa</t>
  </si>
  <si>
    <t>Költségvetési hiány finanszírozása -  belső finanszírozás - előző év maradványának igénybevétele</t>
  </si>
  <si>
    <t xml:space="preserve">Előző évi maradvány           </t>
  </si>
  <si>
    <t xml:space="preserve"> Likviditási célú hitelek, kölcsönök törlesztése pénzügyi vállalkozásnak</t>
  </si>
  <si>
    <t>Államháztartáson belüli megelőlegezések  visszafizetése</t>
  </si>
  <si>
    <t xml:space="preserve"> 'Felhalmozási bevétel B5</t>
  </si>
  <si>
    <t>Bursa Hungarica</t>
  </si>
  <si>
    <t>Likviditási célú hitel, kölcsönök felvétele pénzügyi vállalkozástól</t>
  </si>
  <si>
    <t>Államháztartáson belüli megelőlegezések</t>
  </si>
  <si>
    <t>Gyermekvédelmi ellátások</t>
  </si>
  <si>
    <t>- működési célú költségvetési támogatás és kiegészítő támogatás</t>
  </si>
  <si>
    <t>BEVÉTELEK ÖSSZESEN A+B</t>
  </si>
  <si>
    <t>Nyári diákmunka támogatása</t>
  </si>
  <si>
    <t>B351</t>
  </si>
  <si>
    <t>B354</t>
  </si>
  <si>
    <t>Egyéb kiadói tevékenység</t>
  </si>
  <si>
    <t>Étkeztetés</t>
  </si>
  <si>
    <t>Kazán</t>
  </si>
  <si>
    <t>Csengődi Polgármesteri Hivatal</t>
  </si>
  <si>
    <t>Csengőd Község Önkormányzata</t>
  </si>
  <si>
    <t>Pályázatok</t>
  </si>
  <si>
    <t xml:space="preserve">          Számítógép alapkonfiguráció</t>
  </si>
  <si>
    <t xml:space="preserve">          Szünetmentes tápegység</t>
  </si>
  <si>
    <t xml:space="preserve">          Monitor alapkonfiguráció</t>
  </si>
  <si>
    <t xml:space="preserve">         Multifunkciós nyomatkészítő</t>
  </si>
  <si>
    <t xml:space="preserve">        Switch eszköz</t>
  </si>
  <si>
    <t xml:space="preserve">         Kártyaolvasó</t>
  </si>
  <si>
    <t>Társulási hozzájárulás</t>
  </si>
  <si>
    <t>Előző év költségvetési maradványának igénybevétele</t>
  </si>
  <si>
    <t>Szociális és gyermekjóléti feladatok</t>
  </si>
  <si>
    <t>Étkezetési feladatok</t>
  </si>
  <si>
    <t>INTÉZMÉNYEK ÖSSZESEN ( 1. - 3. sorok )</t>
  </si>
  <si>
    <t>Költségvetési tartalék</t>
  </si>
  <si>
    <t>Rendkívüli települési támogatás</t>
  </si>
  <si>
    <t>Önkormányzat igazgatási tevékenysége</t>
  </si>
  <si>
    <t>Köztemetés</t>
  </si>
  <si>
    <t>Közutak fenntarása</t>
  </si>
  <si>
    <t>Önkormányzati vagyongazdálkodás, hasznosítás</t>
  </si>
  <si>
    <t>Önkormányzati rendezvények</t>
  </si>
  <si>
    <t xml:space="preserve"> Köztemető fenntartása</t>
  </si>
  <si>
    <t>Szociális, egészségügyi, gyermekvédelmi ellátások, segélyek, támogatások</t>
  </si>
  <si>
    <t>Összesen 1-3. sorok</t>
  </si>
  <si>
    <t>B. Az Önkormányzat bevételei összesen B1.+…+B8.</t>
  </si>
  <si>
    <t>Közfoglalkoztatási mintaprogram</t>
  </si>
  <si>
    <t>Hosszabb időtartamú közfoglalkoztatás</t>
  </si>
  <si>
    <t>KÖFOG-1.2.1-VEKOP-16.-2016-00363.</t>
  </si>
  <si>
    <t xml:space="preserve">TOP-3.2.1-15-BK1-2016-00037. </t>
  </si>
  <si>
    <t xml:space="preserve">TOP-3.2.2-15-BK1-2016-00003 </t>
  </si>
  <si>
    <t xml:space="preserve">TOP-4.2.1-15-BK1-2016-00010 </t>
  </si>
  <si>
    <t>VP6-7.2.1-7.4.1.2-16</t>
  </si>
  <si>
    <t xml:space="preserve">KEHOP-5.4.1 </t>
  </si>
  <si>
    <t>Szabadidősport (rekreációs) tevékenység</t>
  </si>
  <si>
    <t>VP6-7.2.1-7.4.1.2-16 pályázathoz önerő (Telefonos út)</t>
  </si>
  <si>
    <t>Az Önkormányzat bevételei</t>
  </si>
  <si>
    <t>Az Önkormányzat finanszírozási bevételei</t>
  </si>
  <si>
    <t>Finanszírozási bevétel</t>
  </si>
  <si>
    <t xml:space="preserve">            Házi-és gyermekügyeleti hozzájárulás</t>
  </si>
  <si>
    <t xml:space="preserve">           Ivóvíz hozzájárulás</t>
  </si>
  <si>
    <t>Összesen (II./1-7.)</t>
  </si>
  <si>
    <t>Összesen (I/1-7.)</t>
  </si>
  <si>
    <t>Képviselő testületi és igazgatási feladatok</t>
  </si>
  <si>
    <t xml:space="preserve">    Előkészítési munkák</t>
  </si>
  <si>
    <t>Tervezési munkák</t>
  </si>
  <si>
    <t>TOP 3.2.1-15 Energetikai pályázat</t>
  </si>
  <si>
    <t>- KÖFOG-1.2.1-VEKOP-16.-2016-00363. Asp pályázathoz eszköz beszerzés</t>
  </si>
  <si>
    <t>CSENGŐD KÖZSÉG ÖNKORMÁNYZATA</t>
  </si>
  <si>
    <t>Környezetvédelmi feladatok</t>
  </si>
  <si>
    <t>Microsoft Office 2016 Home&amp;Business HUN irodai szoftver</t>
  </si>
  <si>
    <t>-Case IH Maxxum 5130 típusú használt homlokrakodóval ellátott mezőgazdasági vontató</t>
  </si>
  <si>
    <t>-P 31912 méteres fesztávolságú, cseppmentes düzni függesztett szántóföldi permetező</t>
  </si>
  <si>
    <t>Laptop</t>
  </si>
  <si>
    <t>GPS</t>
  </si>
  <si>
    <t>Szivattyú</t>
  </si>
  <si>
    <t>Elvonások és befizetések</t>
  </si>
  <si>
    <t>TOP-4.2.1-15</t>
  </si>
  <si>
    <t>TOP-4.2.1-15 Szociális étkeztetés fejlesztése</t>
  </si>
  <si>
    <t>Konyhai gépek beszerzése</t>
  </si>
  <si>
    <t>Egyéb tárgyi eszköz (lánckesztyű)</t>
  </si>
  <si>
    <t>Hűtő</t>
  </si>
  <si>
    <t>TOP-3.2.1-15</t>
  </si>
  <si>
    <t>Védői szolgálat</t>
  </si>
  <si>
    <t>Hallást vizsgáló készülék</t>
  </si>
  <si>
    <t xml:space="preserve">Belterületi utak, járdák, hidak felújítása </t>
  </si>
  <si>
    <t>fejlesztési támogatás</t>
  </si>
  <si>
    <t>Kerti garnitúra</t>
  </si>
  <si>
    <t>Mosógató, ételhordó</t>
  </si>
  <si>
    <t>Mikróhullámú sütő</t>
  </si>
  <si>
    <t>Focikapu</t>
  </si>
  <si>
    <t>Mikrófonszett</t>
  </si>
  <si>
    <t>B21</t>
  </si>
  <si>
    <t>Gépjármű vásárlás</t>
  </si>
  <si>
    <t>B411</t>
  </si>
  <si>
    <t>Óvodabővítés</t>
  </si>
  <si>
    <t>Csengőd 0413/12. hrsz-ú ingatlan megvásárlása</t>
  </si>
  <si>
    <t>Csengőd 50. hrsz-ú (200nm) és 51. hrsz-ú (179 nm) ingatlan megvásárlása</t>
  </si>
  <si>
    <t>B25 Egyéb felhalmozási célú támogatások bevételei államháztartáson belülről</t>
  </si>
  <si>
    <t>B21 Felhalmozási célú önkormányzati támogatások</t>
  </si>
  <si>
    <t>Igazgatási (népszavazás)tevékenység</t>
  </si>
  <si>
    <t>Főzőlap</t>
  </si>
  <si>
    <t>Vagyongazdálkodási feladatok</t>
  </si>
  <si>
    <t>tartalékok</t>
  </si>
  <si>
    <t>Létszámkeret</t>
  </si>
  <si>
    <t>Késkészlet, élező</t>
  </si>
  <si>
    <t>Vákuumozó  gép, mérleg, aszalószekrény, keverőgép</t>
  </si>
  <si>
    <t>Közművelődési intézmények, közösségi színterek, könyvtár működtetése</t>
  </si>
  <si>
    <t>Zöldterület-gazdálkodássa, településüzemeltetéssel kapcsolatos feladatok</t>
  </si>
  <si>
    <t>Csengőd 517. hrsz-ú ingatlan megvásárlása</t>
  </si>
  <si>
    <t>Kerti garnitúra (pad, sátor), létra</t>
  </si>
  <si>
    <t>Tárgyi eszköz (falióra, vízadagoló, kisértékű tárgyi eszközök)</t>
  </si>
  <si>
    <t>-eredeti előirányzat</t>
  </si>
  <si>
    <t>-módosított előirányzat</t>
  </si>
  <si>
    <t>-teljesítés</t>
  </si>
  <si>
    <t xml:space="preserve"> önként vállalt feladatok</t>
  </si>
  <si>
    <t>Eredeti előirányzat</t>
  </si>
  <si>
    <t>Módosított előirányzat</t>
  </si>
  <si>
    <t>Teljesítés</t>
  </si>
  <si>
    <t>0</t>
  </si>
  <si>
    <t>Ebből: Ebrendészeti és hulladékgazdálkodási hozzájárulás</t>
  </si>
  <si>
    <t>Sor-szám</t>
  </si>
  <si>
    <t>1.1</t>
  </si>
  <si>
    <t>1.2</t>
  </si>
  <si>
    <t>1.3</t>
  </si>
  <si>
    <t>2</t>
  </si>
  <si>
    <t>2.1</t>
  </si>
  <si>
    <t>2.2</t>
  </si>
  <si>
    <t>2.3</t>
  </si>
  <si>
    <t>1.4</t>
  </si>
  <si>
    <t>1.5</t>
  </si>
  <si>
    <t>1.6</t>
  </si>
  <si>
    <t>1.7</t>
  </si>
  <si>
    <t>10.</t>
  </si>
  <si>
    <t>9.1</t>
  </si>
  <si>
    <t>9.2</t>
  </si>
  <si>
    <t>9.3</t>
  </si>
  <si>
    <t>9.4</t>
  </si>
  <si>
    <t>9.5</t>
  </si>
  <si>
    <t>9.6</t>
  </si>
  <si>
    <t>10.1</t>
  </si>
  <si>
    <t>10.2</t>
  </si>
  <si>
    <t>10.3</t>
  </si>
  <si>
    <t>10.4</t>
  </si>
  <si>
    <t>10.5</t>
  </si>
  <si>
    <t>10.6</t>
  </si>
  <si>
    <t>10.7</t>
  </si>
  <si>
    <t>10.8</t>
  </si>
  <si>
    <t>11</t>
  </si>
  <si>
    <t>11.1</t>
  </si>
  <si>
    <t>11.2</t>
  </si>
  <si>
    <t>12</t>
  </si>
  <si>
    <t>13</t>
  </si>
  <si>
    <t>14</t>
  </si>
  <si>
    <t>15</t>
  </si>
  <si>
    <t>16</t>
  </si>
  <si>
    <t>ÖNKORMÁNYZATI KIADÁSOK ÖSSZESEN ( 1-16 sorok )</t>
  </si>
  <si>
    <t>17.</t>
  </si>
  <si>
    <t>18.</t>
  </si>
  <si>
    <t>Tárgyi eszköz beszerzése</t>
  </si>
  <si>
    <t>-ebből Tárgyi eszközök beszerzése (motoros permetező, öntőzés technika)</t>
  </si>
  <si>
    <t>17143412</t>
  </si>
  <si>
    <t>Tárgyi eszköz beszerzése étkeztetéshez</t>
  </si>
  <si>
    <t>Víztartály, egyéb tárgyi eszköz</t>
  </si>
  <si>
    <t>Óvodai, bölcsődei piac beruházás-önerővel</t>
  </si>
  <si>
    <t>TOP  3.2.2-15 pályázatok</t>
  </si>
  <si>
    <t>Óvodai, egyéb feladatok</t>
  </si>
  <si>
    <t xml:space="preserve"> Ft-ban</t>
  </si>
  <si>
    <t>Feladat</t>
  </si>
  <si>
    <t>Az átcsoportosítás jogát gyakorolja</t>
  </si>
  <si>
    <t>Összesen:</t>
  </si>
  <si>
    <t>2017. évi eredeti előirányzat</t>
  </si>
  <si>
    <t>2017. évi módosított előirányzat</t>
  </si>
  <si>
    <t>Az európai uniós forrásokkal támogatott program megnevezése és a pályázat célja</t>
  </si>
  <si>
    <t>Kiadások összesen</t>
  </si>
  <si>
    <t>Önerő</t>
  </si>
  <si>
    <t>Támogatás megelőlegezése önkormányzati bevételből</t>
  </si>
  <si>
    <t>Hazai - központi támogatás</t>
  </si>
  <si>
    <t>Európai Unió támogatása</t>
  </si>
  <si>
    <t>támogatás</t>
  </si>
  <si>
    <t>támogatás megelőlegezése önkormányzati bevételből</t>
  </si>
  <si>
    <t>Ezer Ft-ban</t>
  </si>
  <si>
    <t>KÖTELEZETTSÉGEK</t>
  </si>
  <si>
    <t>Kötelezettség a tárgyévet követő</t>
  </si>
  <si>
    <t>1. évben</t>
  </si>
  <si>
    <t>2. évben</t>
  </si>
  <si>
    <t>3. évben</t>
  </si>
  <si>
    <t>4. és ezt követő 10 évben</t>
  </si>
  <si>
    <t>Fogorvosi feladatok ellátásának támogatása</t>
  </si>
  <si>
    <t>ÖSSZESEN:</t>
  </si>
  <si>
    <t>Szöveges indoklás</t>
  </si>
  <si>
    <t>KÖVETELÉSEK</t>
  </si>
  <si>
    <t>4. és ezt követő év(ek)ben</t>
  </si>
  <si>
    <t>Magyarország gazdasági stabilitásáról szóló 2011. évi CXCIV. törvény 3.§ (1) bekezdése szerinti adósságot keletkeztető ügyletek és kezességvállalások, valamint saját bevételek</t>
  </si>
  <si>
    <t>4. és ezt követő év(ek)ben a futamidő végéig, ill. a kezesség érvényesít-hetőségéig</t>
  </si>
  <si>
    <t>hitel, kölcsön felvétele, átvállalása a folyósítás, átvállalás napjától a végtörlesztés napjáig, és annak aktuális tőketartozása - tervezett</t>
  </si>
  <si>
    <t xml:space="preserve">Tervezett adósságot keletkeztető ügyletek hitelei </t>
  </si>
  <si>
    <t>saját bevételek</t>
  </si>
  <si>
    <t>2017.</t>
  </si>
  <si>
    <t>Követelések a tárgyévet követő</t>
  </si>
  <si>
    <t xml:space="preserve">Fejlesztési cél megnevezése </t>
  </si>
  <si>
    <t>Fejlesztési cél teljes összege (ezer Ft)</t>
  </si>
  <si>
    <t>Fejlesztési cél tárgyévi előirányzata (ezer Ft)</t>
  </si>
  <si>
    <t>Adósságot keletkeztető ügylet megnevezése</t>
  </si>
  <si>
    <t>Felvétel tervezett éve</t>
  </si>
  <si>
    <t>Lejárat tervezett éve</t>
  </si>
  <si>
    <t>Ügylet várható együttes összege (ezer Ft)</t>
  </si>
  <si>
    <t>01</t>
  </si>
  <si>
    <t>Alaptevékenység költségvetési bevételei</t>
  </si>
  <si>
    <t>02</t>
  </si>
  <si>
    <t>Alaptevékenység költségvetési kiadásai</t>
  </si>
  <si>
    <t>I</t>
  </si>
  <si>
    <t>Alaptevékenység költségvetési egyenlege 01-02</t>
  </si>
  <si>
    <t>03</t>
  </si>
  <si>
    <t>Alaptevékenység finanszírozási bevételei</t>
  </si>
  <si>
    <t>04</t>
  </si>
  <si>
    <t>Alaptevékenység finanszírozási kiadásai</t>
  </si>
  <si>
    <t>II</t>
  </si>
  <si>
    <t>Alaptevékenység finanszírozási egyenlege 03-04</t>
  </si>
  <si>
    <t xml:space="preserve">Alaptevékenység maradványa + -I + -II </t>
  </si>
  <si>
    <t>05</t>
  </si>
  <si>
    <t>Vállalkozási tevékenység költségvetési bevételei</t>
  </si>
  <si>
    <t>06</t>
  </si>
  <si>
    <t>Vállalkozási tevékenység költségvetési kiadásai</t>
  </si>
  <si>
    <t>III</t>
  </si>
  <si>
    <t>Vállalkozási tevékenység költségvetési egyenlege 05-06</t>
  </si>
  <si>
    <t>07</t>
  </si>
  <si>
    <t>Vállalkozási tevékenység finanszírozási bevételei</t>
  </si>
  <si>
    <t>08</t>
  </si>
  <si>
    <t>Vállalkozási tevékenység finanszírozási kiadásai</t>
  </si>
  <si>
    <t>IV</t>
  </si>
  <si>
    <t>Vállalkozási tevékenység finanszírozási egyenlege 07-08</t>
  </si>
  <si>
    <t>Vállalkozási tevékenység maradványa + -III + -IV</t>
  </si>
  <si>
    <t>C</t>
  </si>
  <si>
    <t>Összes maradvány A+B</t>
  </si>
  <si>
    <t>D</t>
  </si>
  <si>
    <t>Alaptevékenység kötelezettségvállalással terhelt maradványa</t>
  </si>
  <si>
    <t>E</t>
  </si>
  <si>
    <t>Alaptevékenység szabad maradványa A-D</t>
  </si>
  <si>
    <t xml:space="preserve">F </t>
  </si>
  <si>
    <t>Vállalkozási tevékenységet terhelő befizetési kötelezettség B*0,1</t>
  </si>
  <si>
    <t>G</t>
  </si>
  <si>
    <t>Vállalkozási tevékenység felhasználható maradványa B-F</t>
  </si>
  <si>
    <t>Maradványkimutatás 2017.</t>
  </si>
  <si>
    <t>Ft</t>
  </si>
  <si>
    <t>A/I/2 Szellemi termékek</t>
  </si>
  <si>
    <t>A/I Immateriális javak (=A/I/1+A/I/2+A/I/3)</t>
  </si>
  <si>
    <t>A/II/1 Ingatlanok és a kapcsolódó vagyoni értékű jogok</t>
  </si>
  <si>
    <t>A/II/2 Gépek, berendezések, felszerelések, járművek</t>
  </si>
  <si>
    <t>A/II/4 Beruházások, felújítások</t>
  </si>
  <si>
    <t>A/II Tárgyi eszközök  (=A/II/1+...+A/II/5)</t>
  </si>
  <si>
    <t>A/III/1 Tartós részesedések (=A/III/1a+…+A/III/1e)</t>
  </si>
  <si>
    <t>A/III/1e - ebből: egyéb tartós részesedések</t>
  </si>
  <si>
    <t>A/III Befektetett pénzügyi eszközök (=A/III/1+A/III/2+A/III/3)</t>
  </si>
  <si>
    <t>A) NEMZETI VAGYONBA TARTOZÓ BEFEKTETETT ESZKÖZÖK (=A/I+A/II+A/III+A/IV)</t>
  </si>
  <si>
    <t>B/I/1 Vásárolt készletek</t>
  </si>
  <si>
    <t>B/I Készletek (=B/I/1+…+B/I/5)</t>
  </si>
  <si>
    <t>B) NEMZETI VAGYONBA TARTOZÓ FORGÓESZKÖZÖK (= B/I+B/II)</t>
  </si>
  <si>
    <t>C/II/1 Forintpénztár</t>
  </si>
  <si>
    <t>C/II Pénztárak, csekkek, betétkönyvek (=C/II/1+C/II/2+C/II/3)</t>
  </si>
  <si>
    <t>C/III/1 Kincstáron kívüli forintszámlák</t>
  </si>
  <si>
    <t>C/III Forintszámlák (=C/III/1+C/III/2)</t>
  </si>
  <si>
    <t>C) PÉNZESZKÖZÖK (=C/I+…+C/IV)</t>
  </si>
  <si>
    <t>D/I/3 Költségvetési évben esedékes követelések közhatalmi bevételre (=D/I/3a+…+D/I/3f)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</si>
  <si>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</si>
  <si>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</si>
  <si>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</si>
  <si>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</si>
  <si>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D/I/4a - ebből: költségvetési évben esedékes követelések készletértékesítés ellenértékére, szolgáltatások ellenértékére, közvetített szolgáltatások ellenértékére</t>
  </si>
  <si>
    <t>D/I/4c - ebből: költségvetési évben esedékes követelések ellátási díjakra</t>
  </si>
  <si>
    <t>D/I/4d - ebből: költségvetési évben esedékes követelések kiszámlázott általános forgalmi adóra</t>
  </si>
  <si>
    <t>D/I/4e - ebből: költségvetési évben esedékes követelések általános forgalmi adó visszatérítésére</t>
  </si>
  <si>
    <t>D/I/4i - ebből: költségvetési évben esedékes követelések egyéb működési bevételekre</t>
  </si>
  <si>
    <t>D/I Költségvetési évben esedékes követelések (=D/I/1+…+D/I/8)</t>
  </si>
  <si>
    <t>D/II/1 Költségvetési évet követően esedékes követelések működési célú támogatások bevételeire államháztartáson belülről (&gt;=D/II/1a)</t>
  </si>
  <si>
    <t>D/II/3 Költségvetési évet követően esedékes követelések közhatalmi bevételre (=D/II/3a+…+D/II/3f)</t>
  </si>
  <si>
    <t>D/II/3d - ebből: költségvetési évet követően esedékes követelések vagyoni típusú adókra</t>
  </si>
  <si>
    <t>D/II/3e - ebből: költségvetési évet követően esedékes követelések termékek és szolgáltatások adóira</t>
  </si>
  <si>
    <t>D/II/4 Költségvetési évet követően esedékes követelések működési bevételre (=D/II/4a+…+D/II/4i)</t>
  </si>
  <si>
    <t>D/II/4a - ebből: költségvetési évet követően esedékes követelések készletértékesítés ellenértékére, szolgáltatások ellenértékére, közvetített szolgáltatások ellenértékére</t>
  </si>
  <si>
    <t>D/II/4c - ebből: költségvetési évet követően esedékes követelések ellátási díjakra</t>
  </si>
  <si>
    <t>D/II/4d - ebből: költségvetési évet követően esedékes követelések kiszámlázott általános forgalmi adóra</t>
  </si>
  <si>
    <t>D/II Költségvetési évet követően esedékes követelések (=D/II/1+…+D/II/8)</t>
  </si>
  <si>
    <t>D/III/1 Adott előlegek (=D/III/1a+…+D/III/1f)</t>
  </si>
  <si>
    <t>D/III/1f - ebből: túlfizetések, téves és visszajáró kifizetések</t>
  </si>
  <si>
    <t>D/III/4 Forgótőke elszámolása</t>
  </si>
  <si>
    <t>D/III/7 Folyósított, megelőlegezett társadalombiztosítási és családtámogatási ellátások elszámolása</t>
  </si>
  <si>
    <t>D/III Követelés jellegű sajátos elszámolások (=D/III/1+…+D/III/9)</t>
  </si>
  <si>
    <t>D) KÖVETELÉSEK  (=D/I+D/II+D/III)</t>
  </si>
  <si>
    <t>E/I/2 Más előzetesen felszámított levonható általános forgalmi adó</t>
  </si>
  <si>
    <t>E/I Előzetesen felszámított általános forgalmi adó elszámolása (=E/I/1+…+E/I/4)</t>
  </si>
  <si>
    <t>E/II/2 Más fizetendő általános forgalmi adó</t>
  </si>
  <si>
    <t>E/II Fizetendő általános forgalmi adó elszámolása (=E/II/1+E/II/2)</t>
  </si>
  <si>
    <t>E/III/1 December havi illetmények, munkabérek elszámolása</t>
  </si>
  <si>
    <t>E/III Egyéb sajátos eszközoldali elszámolások (=E/III/1+E/III/2)</t>
  </si>
  <si>
    <t>E) EGYÉB SAJÁTOS ELSZÁMOLÁSOK (=E/I+E/II+E/III)</t>
  </si>
  <si>
    <t>F/2 Költségek, ráfordítások aktív időbeli elhatárolása</t>
  </si>
  <si>
    <t>F) AKTÍV IDŐBELI  ELHATÁROLÁSOK  (=F/1+F/2+F/3)</t>
  </si>
  <si>
    <t>ESZKÖZÖK ÖSSZESEN (=A+B+C+D+E+F)</t>
  </si>
  <si>
    <t>G/I  Nemzeti vagyon induláskori értéke</t>
  </si>
  <si>
    <t>G/II Nemzeti vagyon változásai</t>
  </si>
  <si>
    <t>G/III/3 Pénzeszközön kívüli egyéb eszközök induláskori értéke és változásai</t>
  </si>
  <si>
    <t>G/III Egyéb eszközök induláskori értéke és változásai (=G/III/1+G/III/2+G/III/3)</t>
  </si>
  <si>
    <t>G/IV Felhalmozott eredmény</t>
  </si>
  <si>
    <t>G/VI Mérleg szerinti eredmény</t>
  </si>
  <si>
    <t>G/ SAJÁT TŐKE  (= G/I+…+G/VI)</t>
  </si>
  <si>
    <t>H/I/3 Költségvetési évben esedékes kötelezettségek dologi kiadásokra</t>
  </si>
  <si>
    <t>H/I/6 Költségvetési évben esedékes kötelezettségek beruházásokra</t>
  </si>
  <si>
    <t>H/I Költségvetési évben esedékes kötelezettségek (=H/I/1+…+H/I/9)</t>
  </si>
  <si>
    <t>H/II/3 Költségvetési évet követően esedékes kötelezettségek dologi kiadásokra</t>
  </si>
  <si>
    <t>H/II/5 Költségvetési évet követően esedékes kötelezettségek egyéb működési célú kiadásokra (&gt;=H/II/5a+H/II/5b)</t>
  </si>
  <si>
    <t>H/II/9 Költségvetési évet követően esedékes kötelezettségek finanszírozási kiadásokra (&gt;=H/II/9a+…+H/II/9j)</t>
  </si>
  <si>
    <t>H/II/9e - ebből: költségvetési évet követően esedékes kötelezettségek államháztartáson belüli megelőlegezések visszafizetésére</t>
  </si>
  <si>
    <t>H/II Költségvetési évet követően esedékes kötelezettségek (=H/II/1+…+H/II/9)</t>
  </si>
  <si>
    <t>H/III/1 Kapott előlegek</t>
  </si>
  <si>
    <t>H/III/3 Más szervezetet megillető bevételek elszámolása</t>
  </si>
  <si>
    <t>H/III Kötelezettség jellegű sajátos elszámolások (=H/III/1+…+H/III/10)</t>
  </si>
  <si>
    <t>H) KÖTELEZETTSÉGEK (=H/I+H/II+H/III)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</si>
  <si>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</si>
  <si>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</si>
  <si>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</si>
  <si>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</si>
  <si>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>VAGYONKIMUTATÁS TAGOLÁSA A KÖNYVVITELI MÉRLEGBEN SZEREPLŐ ADATOK ALAPJÁN - 2016. év</t>
  </si>
  <si>
    <t>H/I/1 Költségvetési évben esedékes kötelezettségek személyi juttatásokra</t>
  </si>
  <si>
    <t>Megnevezés</t>
  </si>
  <si>
    <t>Immateriális javak</t>
  </si>
  <si>
    <t>Ingatlanok és kapcsolódó vagyoni értékű jogok</t>
  </si>
  <si>
    <t>Beruházások és felújítások</t>
  </si>
  <si>
    <t>Összesen (=3+4+5+6+7+8)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</si>
  <si>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</si>
  <si>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</si>
  <si>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</si>
  <si>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</si>
  <si>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Egyéb növekedés</t>
  </si>
  <si>
    <t>09</t>
  </si>
  <si>
    <t>10</t>
  </si>
  <si>
    <t>Egyéb csökkenés</t>
  </si>
  <si>
    <t>Összes csökkenés (=09+…+13)</t>
  </si>
  <si>
    <t>Terv szerinti értékcsökkenés nyitó állománya</t>
  </si>
  <si>
    <t>17</t>
  </si>
  <si>
    <t>Terv szerinti értékcsökkenés növekedése</t>
  </si>
  <si>
    <t>18</t>
  </si>
  <si>
    <t>Terv szerinti értékcsökkenés csökkenése</t>
  </si>
  <si>
    <t>19</t>
  </si>
  <si>
    <t>Terv szerinti értékcsökkenés záró állománya  (=16+17-18)</t>
  </si>
  <si>
    <t>20</t>
  </si>
  <si>
    <t>21</t>
  </si>
  <si>
    <t>22</t>
  </si>
  <si>
    <t>23</t>
  </si>
  <si>
    <t>24</t>
  </si>
  <si>
    <t>Értékcsökkenés összesen (=19+23)</t>
  </si>
  <si>
    <t>25</t>
  </si>
  <si>
    <t>Eszközök nettó értéke (=15-24)</t>
  </si>
  <si>
    <t>26</t>
  </si>
  <si>
    <t>Teljesen (0-ig) leírt eszközök bruttó értéke</t>
  </si>
  <si>
    <t>Sorszám</t>
  </si>
  <si>
    <t>Família Szociális Alapszolgáltatási Központja</t>
  </si>
  <si>
    <t>összesen</t>
  </si>
  <si>
    <t>Közhatalmi eredményszemléletű bevételek</t>
  </si>
  <si>
    <t>Eszközök és szolgáltatások értékesítése nettó eredményszemléletű bevételei</t>
  </si>
  <si>
    <t>Tevékenység nettó eredményszemléletű bevétele (=01+02+03)</t>
  </si>
  <si>
    <t>Saját termelésű készletek állományváltozása</t>
  </si>
  <si>
    <t>Saját előállítású eszközök aktivált értéke</t>
  </si>
  <si>
    <t>Aktivált saját teljesítmények értéke (=±04+05)</t>
  </si>
  <si>
    <t>Központi működési célú támogatások eredményszemléletű bevételei</t>
  </si>
  <si>
    <t>Egyéb működési célú támogatások eredményszemléletű bevételei</t>
  </si>
  <si>
    <t>Különféle egyéb eredményszemléletű bevételek</t>
  </si>
  <si>
    <t>Egyéb eredményszemléletű bevételek (=06+07+08)</t>
  </si>
  <si>
    <t>Anyagköltség</t>
  </si>
  <si>
    <t>Igénybe vett szolgáltatások értéke</t>
  </si>
  <si>
    <t>Eladott áruk beszerzési értéke</t>
  </si>
  <si>
    <t>Anyagjellegű ráfordítások (=09+10+11+12)</t>
  </si>
  <si>
    <t>Bérköltség</t>
  </si>
  <si>
    <t>Személyi jellegű egyéb kifizetések</t>
  </si>
  <si>
    <t>Bérjárulékok</t>
  </si>
  <si>
    <t>V</t>
  </si>
  <si>
    <t>Személyi jellegű ráfordítások (=13+14+15)</t>
  </si>
  <si>
    <t>VI</t>
  </si>
  <si>
    <t>Értékcsökkenési leírás</t>
  </si>
  <si>
    <t>VII</t>
  </si>
  <si>
    <t>Egyéb ráfordítások</t>
  </si>
  <si>
    <t xml:space="preserve">A) </t>
  </si>
  <si>
    <t xml:space="preserve">TEVÉKENYSÉGEK EREDMÉNYE (=I±II+III-IV-V-VI-VII) </t>
  </si>
  <si>
    <t>Egyéb kapott (járó) kamatok és kamatjellegű eredményszemléletű bevételek</t>
  </si>
  <si>
    <t>Pénzügyi műveletek egyéb eredményszemléletű bevételei (&gt;=18a)</t>
  </si>
  <si>
    <t>18a</t>
  </si>
  <si>
    <t>- ebből: árfolyamnyereség</t>
  </si>
  <si>
    <t>VIII</t>
  </si>
  <si>
    <t>Pénzügyi műveletek eredményszemléletű bevételei (=16+17+18)</t>
  </si>
  <si>
    <t>Fizetendő kamatok és kamatjellegű ráfordítások</t>
  </si>
  <si>
    <t>Részesedések, értékpapírok, pénzeszközök értékvesztése</t>
  </si>
  <si>
    <t>Pénzügyi műveletek egyéb ráfordításai (&gt;=21a)</t>
  </si>
  <si>
    <t>21a</t>
  </si>
  <si>
    <t>- ebből: árfolyamveszteség</t>
  </si>
  <si>
    <t>IX</t>
  </si>
  <si>
    <t>Pénzügyi műveletek ráfordításai (=19+20+21)</t>
  </si>
  <si>
    <t xml:space="preserve">B) </t>
  </si>
  <si>
    <t>PÉNZÜGYI MŰVELETEK EREDMÉNYE (=VIII-IX)</t>
  </si>
  <si>
    <t xml:space="preserve">C) </t>
  </si>
  <si>
    <t>SZOKÁSOS EREDMÉNY (=±A±B)</t>
  </si>
  <si>
    <t>Felhalmozási célú támogatások eredményszemléletű bevételei</t>
  </si>
  <si>
    <t>Különféle rendkívüli eredményszemléletű bevételek</t>
  </si>
  <si>
    <t>X</t>
  </si>
  <si>
    <t>Rendkívüli eredményszemléletű bevételek (=22+23)</t>
  </si>
  <si>
    <t>XI</t>
  </si>
  <si>
    <t>Rendkívüli ráfordítások</t>
  </si>
  <si>
    <t xml:space="preserve">D) </t>
  </si>
  <si>
    <t>RENDKÍVÜLI EREDMÉNY(=X-XI)</t>
  </si>
  <si>
    <t xml:space="preserve">E) </t>
  </si>
  <si>
    <t>MÉRLEG SZERINTI EREDMÉNY (=±C±D)</t>
  </si>
  <si>
    <t>ügyek száma (db)</t>
  </si>
  <si>
    <t>összeg (Ft)</t>
  </si>
  <si>
    <t>lakosság részére lakásépítéshez, felújításhoz nyújtott kölcsön elengedése</t>
  </si>
  <si>
    <t>adókedvezmények</t>
  </si>
  <si>
    <t>Mindösszesen (A+B+C+D+E):</t>
  </si>
  <si>
    <t>Szöveges indoklás:</t>
  </si>
  <si>
    <t>2017. évi tény adat</t>
  </si>
  <si>
    <t>Lejárat éve</t>
  </si>
  <si>
    <t>Állomány</t>
  </si>
  <si>
    <t>Cél</t>
  </si>
  <si>
    <t>Hitelek, kötvények</t>
  </si>
  <si>
    <t>Folyószámla-hitel keret - Rónasági Takarékszövetkezet.</t>
  </si>
  <si>
    <t>Folyamatos működési feladatok</t>
  </si>
  <si>
    <t xml:space="preserve"> Az önkormányzatok általános, köznevelési és szociális feladataihoz kapcsolódó támogatások elszámolása</t>
  </si>
  <si>
    <t>Költségvetési törvény alapján feladatátvétellel/feladatátadással korrigált támogatás</t>
  </si>
  <si>
    <t>Támogatás évközi változása - Május 15.</t>
  </si>
  <si>
    <t>Támogatás évközi változása - Október 1.</t>
  </si>
  <si>
    <t>Tényleges támogatás</t>
  </si>
  <si>
    <t>Évvégi eltérés (+,-) mutatószám szerinti támogatás (=6-(3+4+5))</t>
  </si>
  <si>
    <t>A 05. űrlap alapján a támogatási jogcímhez kapcsolódó kormányzati funkció szerinti kiadások összege</t>
  </si>
  <si>
    <t>Az önkormányzat által az adott célra december 31-ig ténylegesen felhasznált összeg</t>
  </si>
  <si>
    <t>Többlettámogatás (ha a 7-6+9 &gt;0, akkor 7-6+9; egyébként 0)</t>
  </si>
  <si>
    <t>Visszafizetési kötelezettség (ha a 7-6+9 &lt;0, akkor 7-6+9 abszolútértéke; egyébként 0)</t>
  </si>
  <si>
    <t>I.1. A települési  önkormányzatok működésének támogatása (09 01 01 01 00)</t>
  </si>
  <si>
    <t>I.4. Határátkelőhelyek fenntartásának támogatása (09 01 01 04 00)</t>
  </si>
  <si>
    <t>II. A települési önkormányzatok egyes köznevelési feladatainak támogatása, a II.4. jogcím kivételével (09 01 02 00 00)</t>
  </si>
  <si>
    <t>III.3. Egyes szociális és gyermekjóléti feladatok támogatása és III.7. Kiegészítő támogatás a bölcsődében foglalkoztatott, felsőfokú végzettségű kisgyermeknevelők béréhez (09 01 03 03 00)</t>
  </si>
  <si>
    <t>A központi költségvetésből támogatásként rendelkezésre bocsátott összeg</t>
  </si>
  <si>
    <t>Az önkormányzat által az adott célra ténylegesen felhasznált összeg</t>
  </si>
  <si>
    <t>Az önkormányzat által fel nem használt, de a következő évben jogszerűen felhasználható összeg</t>
  </si>
  <si>
    <t>Eltérés (=3-4-5)</t>
  </si>
  <si>
    <t>40</t>
  </si>
  <si>
    <t>A települési önkormányzatok szociális feladatainak egyéb támogatása</t>
  </si>
  <si>
    <t>41</t>
  </si>
  <si>
    <t>Települési önkormányzatok nyilvános könyvtári és közművelődési feladatainak támogatása</t>
  </si>
  <si>
    <t> </t>
  </si>
  <si>
    <t>Ft-ban</t>
  </si>
  <si>
    <t>Família szociális Alapszolgáltatási Központ</t>
  </si>
  <si>
    <t>Tárgyévi rovaton elszámolt</t>
  </si>
  <si>
    <t>bevétel (+)</t>
  </si>
  <si>
    <t>kiadás (-)</t>
  </si>
  <si>
    <t>Értékpapír - és hitelműveletek (+;-)</t>
  </si>
  <si>
    <t>Finanszírozási bevételek, kiadások valamint eszköz- és forrásoldali egyéb sajátos elszámolások egyenlege (+;-)</t>
  </si>
  <si>
    <t>Nyitó pénzkészlet (2017.01.01.)</t>
  </si>
  <si>
    <t>Záró pénzkészlet (2017. 12. 31.)</t>
  </si>
  <si>
    <t>Általános forgalmi adó bevételek</t>
  </si>
  <si>
    <t>B52</t>
  </si>
  <si>
    <t>B7</t>
  </si>
  <si>
    <t>Előző év költségvetési maradványának igénybevétele, előző évek tartalékának maradványa - várható összeg ( intmények és önkormányzat/önkormányzat és ph.)</t>
  </si>
  <si>
    <t>B34</t>
  </si>
  <si>
    <t>B410</t>
  </si>
  <si>
    <t>Bizosító által fizetett kártérítés</t>
  </si>
  <si>
    <t>K1</t>
  </si>
  <si>
    <t>K3</t>
  </si>
  <si>
    <t>K4</t>
  </si>
  <si>
    <t>2017. évi teljesített átcsoportosítás</t>
  </si>
  <si>
    <t>I. Csengőd Község Önkormányzatánál már folyamatban lévő programok, projektek</t>
  </si>
  <si>
    <t>ASP rendszerhez történő csatlakozással kapcsolatos fejlesztések</t>
  </si>
  <si>
    <t>Energetikai beruházás</t>
  </si>
  <si>
    <t>Biomassza fűtésrendszer kialakítása</t>
  </si>
  <si>
    <t>Szociális étkeztetés fejlesztése</t>
  </si>
  <si>
    <t>Külterületi út, "Telefonos út" stabilizálása</t>
  </si>
  <si>
    <t>II. Csengőd Község Önkormányzata támogatásával megvalósuló projektek, programok</t>
  </si>
  <si>
    <t>KEHO-5.4.1</t>
  </si>
  <si>
    <t>Szemléletformálás</t>
  </si>
  <si>
    <t>C/III/2 Kincstárban vezetett forintszámlák</t>
  </si>
  <si>
    <t>D/I/5 Költségvetési évben esedékes követelések felhalmozási bevételre (=D/I/5a+…+D/I/5e)</t>
  </si>
  <si>
    <t>D/I/5a - ebből: költségvetési évben esedékes követelések ingatlanok értékesítésére</t>
  </si>
  <si>
    <t>D/III/1d - ebből: igénybe vett szolgáltatásra adott előleg</t>
  </si>
  <si>
    <t>D/III/1e - ebből: foglalkoztatottaknak adott előleg</t>
  </si>
  <si>
    <t>E/I/4 Más előzetesen felszámított le nemvont általános forgalmi adó</t>
  </si>
  <si>
    <t>A/1/1 Vagyon értékű jogok</t>
  </si>
  <si>
    <t>Felhalmozási célú támogatások eredményszemléletű bevételi</t>
  </si>
  <si>
    <t>Tevékenység  nettó eredményszemléletű bevételei</t>
  </si>
  <si>
    <r>
      <t>ellátottak térítési díjának, kártérítésének méltányossági alapon történő elengedése</t>
    </r>
    <r>
      <rPr>
        <b/>
        <vertAlign val="superscript"/>
        <sz val="9"/>
        <rFont val="Arial"/>
        <family val="2"/>
        <charset val="238"/>
      </rPr>
      <t>1</t>
    </r>
  </si>
  <si>
    <t xml:space="preserve">helyi adónál, gépjárműadónál biztosított kedvezmény, mentesség összege adónemenként </t>
  </si>
  <si>
    <t>.</t>
  </si>
  <si>
    <r>
      <t>Iparűzési adó: adóalap mentesség</t>
    </r>
    <r>
      <rPr>
        <i/>
        <vertAlign val="superscript"/>
        <sz val="9"/>
        <rFont val="Arial"/>
        <family val="2"/>
        <charset val="238"/>
      </rPr>
      <t>4</t>
    </r>
  </si>
  <si>
    <r>
      <t>Gépjárműadó</t>
    </r>
    <r>
      <rPr>
        <i/>
        <vertAlign val="superscript"/>
        <sz val="9"/>
        <rFont val="Arial"/>
        <family val="2"/>
        <charset val="238"/>
      </rPr>
      <t>5</t>
    </r>
  </si>
  <si>
    <t>helyiségek, eszközök hasznosításából származó bevételből nyújtott kedvezmény, mentesség (alkalmomak száma/ft)</t>
  </si>
  <si>
    <r>
      <t xml:space="preserve">Művelpődési ház </t>
    </r>
    <r>
      <rPr>
        <b/>
        <vertAlign val="superscript"/>
        <sz val="9"/>
        <rFont val="Arial"/>
        <family val="2"/>
        <charset val="238"/>
      </rPr>
      <t>7</t>
    </r>
  </si>
  <si>
    <t xml:space="preserve">Térítésmentes használók </t>
  </si>
  <si>
    <r>
      <t>Képzési központ</t>
    </r>
    <r>
      <rPr>
        <b/>
        <sz val="7"/>
        <rFont val="Arial"/>
        <family val="2"/>
        <charset val="238"/>
      </rPr>
      <t>7</t>
    </r>
  </si>
  <si>
    <r>
      <t xml:space="preserve">1  </t>
    </r>
    <r>
      <rPr>
        <sz val="8"/>
        <rFont val="Times New Roman"/>
        <family val="1"/>
        <charset val="238"/>
      </rPr>
      <t>A  gyermekétkeztetésnél nyújtott 50% vagy 100%-os térítési díj kedvezmény.</t>
    </r>
  </si>
  <si>
    <r>
      <t xml:space="preserve">2 </t>
    </r>
    <r>
      <rPr>
        <sz val="8"/>
        <rFont val="Times New Roman"/>
        <family val="1"/>
        <charset val="238"/>
      </rPr>
      <t xml:space="preserve">A méltányosságból történő adótörlés az adózás rendjéről szóló 2017. évi CL. törvényben meghatározott feltételek megléte esetében kerül alkalmazásra. </t>
    </r>
  </si>
  <si>
    <r>
      <t xml:space="preserve">3 </t>
    </r>
    <r>
      <rPr>
        <sz val="8"/>
        <rFont val="Times New Roman"/>
        <family val="1"/>
        <charset val="238"/>
      </rPr>
      <t xml:space="preserve">Magánszemélyek kommunális adójáról szóló 23/2015. (XI.26.) önkormányzati rendelet 2.§-a alapján.                                    </t>
    </r>
  </si>
  <si>
    <r>
      <t>4</t>
    </r>
    <r>
      <rPr>
        <sz val="8"/>
        <rFont val="Times New Roman"/>
        <family val="1"/>
        <charset val="238"/>
      </rPr>
      <t xml:space="preserve"> Magánszemélyek kommunális adójáról és helyi iparűzési adóról szóló 8/2015. (XI.30.) önk.rendelet 8/A§-a alapján.</t>
    </r>
  </si>
  <si>
    <r>
      <t xml:space="preserve">5 </t>
    </r>
    <r>
      <rPr>
        <sz val="8"/>
        <rFont val="Times New Roman"/>
        <family val="1"/>
        <charset val="238"/>
      </rPr>
      <t>A gépjáműadóról szóló 1991. évi LXXXII. törvény alapján.</t>
    </r>
  </si>
  <si>
    <r>
      <t xml:space="preserve">6 </t>
    </r>
    <r>
      <rPr>
        <sz val="8"/>
        <rFont val="Times New Roman"/>
        <family val="1"/>
        <charset val="238"/>
      </rPr>
      <t>Magánszemélyek kommunális adójáról szóló  23/2015. (XI.26.) önkormányzati rendelet 2.§-a alapján.</t>
    </r>
  </si>
  <si>
    <r>
      <t xml:space="preserve">7 </t>
    </r>
    <r>
      <rPr>
        <sz val="8"/>
        <rFont val="Times New Roman"/>
        <family val="1"/>
        <charset val="238"/>
      </rPr>
      <t>A helyi közművelődési eladatok ellátásáról szóló 21/2006. (XII.20.) önk. Rendelet 6.§ (2) bekezdése alapján</t>
    </r>
  </si>
  <si>
    <t>III.5.  Intézményi gyermekétkeztetés támogatása (09 01 03 05 00)</t>
  </si>
  <si>
    <t>III.6.Rászoruló gyermekek szünidei étkeztetése (09 01 03 06 00)</t>
  </si>
  <si>
    <t>11/A - A helyi önkormányzatok kiegészítő támogatásainak és egyéb kötött felhasználású támogatásainak elszámolása</t>
  </si>
  <si>
    <t>#</t>
  </si>
  <si>
    <t>I.9. A települési önkormányzatok szociális célú tüzelőanyag vásárlásához kapcsolódó támogatása</t>
  </si>
  <si>
    <t>Helyi önkormányzatok működési célú költségvetési támogatásai összesen (01+….+ 10)</t>
  </si>
  <si>
    <t>II.2.c) Belterületi utak, járdák, hidak felújítása</t>
  </si>
  <si>
    <t>II.3. Óvodai kapacitásbővítést célzó beruházások támogatása</t>
  </si>
  <si>
    <t>29</t>
  </si>
  <si>
    <t>Helyi önkormányzatok felhalmozási célú költségvetési támogatásai összesen (12+…+28)</t>
  </si>
  <si>
    <t>Helyi önkormányzatok kiegészítő támogatásai összesen (=11+29+30+….+39)</t>
  </si>
  <si>
    <t>A 2016. évről áthúzódó bérkompenzáció támogatása</t>
  </si>
  <si>
    <t>42</t>
  </si>
  <si>
    <t>A településképi arculati kézikönyv elkészítésének támogatása</t>
  </si>
  <si>
    <t>43</t>
  </si>
  <si>
    <t>Szociális ágazati összevont pótlék</t>
  </si>
  <si>
    <t>44</t>
  </si>
  <si>
    <t>48</t>
  </si>
  <si>
    <t>54</t>
  </si>
  <si>
    <t>Könyvtári, közművelődési és múzeumi feladatok támogatása (45+…+53)</t>
  </si>
  <si>
    <t>63</t>
  </si>
  <si>
    <t>5. Kulturális illetménypótlék</t>
  </si>
  <si>
    <t>74</t>
  </si>
  <si>
    <t>16. A költségvetési szerveknél foglalkoztatottak 2017. évi kompenzációja</t>
  </si>
  <si>
    <t>82</t>
  </si>
  <si>
    <t>24. A polgármesteri béremelés különbözetének támogatása</t>
  </si>
  <si>
    <t>83</t>
  </si>
  <si>
    <t>25. Óvodapedagógusok munkáját segítők kiegészítő támogatása</t>
  </si>
  <si>
    <t>96</t>
  </si>
  <si>
    <t>Mindösszesen (=40+…+44+54+61+62+…+95)</t>
  </si>
  <si>
    <t>Bruttó érték összesen (=01+08-14)</t>
  </si>
  <si>
    <t>Összes növekedés  (=02+…+07)</t>
  </si>
  <si>
    <t>Koncesszióba, vagyonkezelésbe adott eszközök</t>
  </si>
  <si>
    <t>Tenyészállatok</t>
  </si>
  <si>
    <t>Gépek, berendezések, felszerelések, járművek</t>
  </si>
  <si>
    <t>Kimutatás az immateriális javak, tárgyi eszközök koncesszióba, vagyonkezelésbe adott eszközök állományának alakulásáról</t>
  </si>
  <si>
    <t>CSENGŐDI POLGÁRMESTERI HIVATAL</t>
  </si>
  <si>
    <t>FAMÍLIA SZOCIÁLIS ALAPSZOLGÁLTATÁSI KÖZPONT</t>
  </si>
  <si>
    <t>CSENGŐDI NAPKÖZI OTTHONOS ÓVODA</t>
  </si>
  <si>
    <r>
      <t xml:space="preserve">AZ ÖNKORMÁNYZAT FINANSZÍROZÁSI KIADÁSAI ÖSSZESEN </t>
    </r>
    <r>
      <rPr>
        <sz val="8"/>
        <rFont val="Times New Roman CE"/>
        <family val="1"/>
        <charset val="238"/>
      </rPr>
      <t>( 17-18. sorok )</t>
    </r>
  </si>
  <si>
    <t>Önkormányzat kiadásai mindösszesen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</si>
</sst>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Ft&quot;_-;\-* #,##0\ &quot;Ft&quot;_-;_-* &quot;-&quot;\ &quot;Ft&quot;_-;_-@_-"/>
    <numFmt numFmtId="41" formatCode="_-* #,##0\ _F_t_-;\-* #,##0\ _F_t_-;_-* &quot;-&quot;\ _F_t_-;_-@_-"/>
    <numFmt numFmtId="164" formatCode="00"/>
    <numFmt numFmtId="165" formatCode="_-* #,##0.0\ _F_t_-;\-* #,##0.0\ _F_t_-;_-* &quot;-&quot;?\ _F_t_-;_-@_-"/>
  </numFmts>
  <fonts count="118" x14ac:knownFonts="1">
    <font>
      <sz val="10"/>
      <name val="Arial CE"/>
      <charset val="238"/>
    </font>
    <font>
      <sz val="10"/>
      <name val="Arial CE"/>
      <charset val="238"/>
    </font>
    <font>
      <sz val="10"/>
      <color indexed="8"/>
      <name val="Tahoma"/>
      <family val="2"/>
    </font>
    <font>
      <sz val="8"/>
      <color indexed="8"/>
      <name val="Tahoma"/>
      <family val="2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7"/>
      <name val="Tahoma"/>
      <family val="2"/>
      <charset val="238"/>
    </font>
    <font>
      <sz val="7"/>
      <name val="Tahoma"/>
      <family val="2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sz val="10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charset val="238"/>
    </font>
    <font>
      <b/>
      <sz val="10"/>
      <name val="Times New Roman CE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0"/>
      <color indexed="8"/>
      <name val="Times New Roman CE"/>
      <family val="1"/>
      <charset val="238"/>
    </font>
    <font>
      <sz val="8"/>
      <color indexed="8"/>
      <name val="Tahoma"/>
      <family val="2"/>
      <charset val="238"/>
    </font>
    <font>
      <i/>
      <sz val="10"/>
      <name val="Arial CE"/>
      <charset val="238"/>
    </font>
    <font>
      <b/>
      <i/>
      <sz val="8"/>
      <name val="Times New Roman CE"/>
      <charset val="238"/>
    </font>
    <font>
      <sz val="10"/>
      <name val="Times New Roman CE"/>
      <charset val="238"/>
    </font>
    <font>
      <sz val="10"/>
      <color indexed="10"/>
      <name val="Times New Roman"/>
      <family val="1"/>
      <charset val="238"/>
    </font>
    <font>
      <sz val="10"/>
      <name val="Tahoma"/>
      <family val="2"/>
      <charset val="238"/>
    </font>
    <font>
      <sz val="10"/>
      <color indexed="10"/>
      <name val="Tahoma"/>
      <family val="2"/>
      <charset val="238"/>
    </font>
    <font>
      <sz val="8"/>
      <name val="Arial CE"/>
      <charset val="238"/>
    </font>
    <font>
      <b/>
      <i/>
      <sz val="7"/>
      <color indexed="10"/>
      <name val="Times New Roman"/>
      <family val="1"/>
      <charset val="238"/>
    </font>
    <font>
      <sz val="10"/>
      <color theme="1"/>
      <name val="Times New Roman CE"/>
      <family val="1"/>
      <charset val="238"/>
    </font>
    <font>
      <sz val="10"/>
      <color theme="1"/>
      <name val="Times New Roman CE"/>
      <charset val="238"/>
    </font>
    <font>
      <b/>
      <i/>
      <sz val="8"/>
      <color rgb="FFFFFF00"/>
      <name val="Times New Roman CE"/>
      <family val="1"/>
      <charset val="238"/>
    </font>
    <font>
      <sz val="8"/>
      <color rgb="FFFFFF00"/>
      <name val="Times New Roman CE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 CE"/>
      <family val="1"/>
      <charset val="238"/>
    </font>
    <font>
      <i/>
      <sz val="8"/>
      <name val="Times New Roman"/>
      <family val="1"/>
      <charset val="238"/>
    </font>
    <font>
      <b/>
      <i/>
      <sz val="10"/>
      <color rgb="FFFF0000"/>
      <name val="Times New Roman CE"/>
      <charset val="238"/>
    </font>
    <font>
      <b/>
      <sz val="8"/>
      <name val="Times New Roman CE"/>
      <charset val="238"/>
    </font>
    <font>
      <b/>
      <i/>
      <sz val="8"/>
      <name val="Times New Roman"/>
      <family val="1"/>
      <charset val="238"/>
    </font>
    <font>
      <b/>
      <sz val="8"/>
      <name val="Arial CE"/>
      <charset val="238"/>
    </font>
    <font>
      <b/>
      <sz val="8"/>
      <color rgb="FFFF0000"/>
      <name val="Times New Roman CE"/>
      <family val="1"/>
      <charset val="238"/>
    </font>
    <font>
      <b/>
      <sz val="8"/>
      <color rgb="FFFF0000"/>
      <name val="Times New Roman CE"/>
      <charset val="238"/>
    </font>
    <font>
      <b/>
      <sz val="10"/>
      <color rgb="FFFF0000"/>
      <name val="Times New Roman CE"/>
      <family val="1"/>
      <charset val="238"/>
    </font>
    <font>
      <sz val="10"/>
      <color rgb="FFFF0000"/>
      <name val="Times New Roman CE"/>
      <family val="1"/>
      <charset val="238"/>
    </font>
    <font>
      <sz val="8"/>
      <name val="Times New Roman CE"/>
      <charset val="238"/>
    </font>
    <font>
      <b/>
      <sz val="9"/>
      <name val="Times New Roman CE"/>
      <family val="1"/>
      <charset val="238"/>
    </font>
    <font>
      <i/>
      <sz val="9"/>
      <name val="Times New Roman"/>
      <family val="1"/>
      <charset val="238"/>
    </font>
    <font>
      <i/>
      <sz val="8"/>
      <name val="Times New Roman CE"/>
      <charset val="238"/>
    </font>
    <font>
      <b/>
      <i/>
      <sz val="7"/>
      <name val="Times New Roman"/>
      <family val="1"/>
      <charset val="238"/>
    </font>
    <font>
      <b/>
      <sz val="12"/>
      <name val="Times New Roman CE"/>
      <family val="1"/>
      <charset val="238"/>
    </font>
    <font>
      <sz val="8"/>
      <color rgb="FFFF0000"/>
      <name val="Times New Roman"/>
      <family val="1"/>
      <charset val="238"/>
    </font>
    <font>
      <sz val="7"/>
      <color rgb="FFFF0000"/>
      <name val="Times New Roman"/>
      <family val="1"/>
      <charset val="238"/>
    </font>
    <font>
      <b/>
      <sz val="7"/>
      <color rgb="FFFF0000"/>
      <name val="Times New Roman"/>
      <family val="1"/>
      <charset val="238"/>
    </font>
    <font>
      <sz val="8"/>
      <color rgb="FFFF0000"/>
      <name val="Tahoma"/>
      <family val="2"/>
      <charset val="238"/>
    </font>
    <font>
      <b/>
      <sz val="8"/>
      <color rgb="FFFF0000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sz val="7"/>
      <name val="Times New Roman"/>
      <family val="1"/>
      <charset val="238"/>
    </font>
    <font>
      <sz val="9"/>
      <name val="Tahoma"/>
      <family val="2"/>
    </font>
    <font>
      <sz val="11"/>
      <name val="Times New Roman"/>
      <family val="1"/>
      <charset val="238"/>
    </font>
    <font>
      <b/>
      <sz val="9"/>
      <name val="Arial CE"/>
      <charset val="238"/>
    </font>
    <font>
      <sz val="9"/>
      <color indexed="10"/>
      <name val="Times New Roman CE"/>
      <family val="1"/>
      <charset val="238"/>
    </font>
    <font>
      <sz val="9"/>
      <name val="Times New Roman CE"/>
      <charset val="238"/>
    </font>
    <font>
      <sz val="9"/>
      <name val="Times New Roman"/>
      <family val="1"/>
      <charset val="238"/>
    </font>
    <font>
      <sz val="10"/>
      <name val="MS Sans Serif"/>
      <family val="2"/>
      <charset val="238"/>
    </font>
    <font>
      <b/>
      <u/>
      <sz val="9"/>
      <name val="Times New Roman CE"/>
      <family val="1"/>
      <charset val="238"/>
    </font>
    <font>
      <sz val="8"/>
      <color indexed="63"/>
      <name val="Times New Roman CE"/>
      <family val="1"/>
      <charset val="238"/>
    </font>
    <font>
      <b/>
      <sz val="9"/>
      <color indexed="10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</font>
    <font>
      <b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u/>
      <sz val="9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8"/>
      <name val="Times New Roman"/>
      <family val="1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rgb="FF000000"/>
      <name val="Calibri"/>
      <family val="2"/>
      <charset val="1"/>
      <scheme val="minor"/>
    </font>
    <font>
      <sz val="10"/>
      <color rgb="FF000000"/>
      <name val="Calibri"/>
      <family val="1"/>
      <charset val="1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8"/>
      <name val="Tahoma"/>
      <family val="2"/>
    </font>
    <font>
      <sz val="10"/>
      <color indexed="10"/>
      <name val="Arial CE"/>
      <charset val="238"/>
    </font>
    <font>
      <i/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b/>
      <sz val="8"/>
      <color theme="1"/>
      <name val="Times New Roman CE"/>
      <family val="1"/>
      <charset val="238"/>
    </font>
    <font>
      <sz val="8"/>
      <color rgb="FFFF0000"/>
      <name val="Times New Roman CE"/>
      <family val="1"/>
      <charset val="238"/>
    </font>
    <font>
      <sz val="12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76" fillId="0" borderId="0"/>
    <xf numFmtId="0" fontId="76" fillId="0" borderId="0"/>
    <xf numFmtId="0" fontId="84" fillId="0" borderId="0"/>
    <xf numFmtId="0" fontId="80" fillId="0" borderId="0"/>
    <xf numFmtId="0" fontId="1" fillId="0" borderId="0"/>
    <xf numFmtId="0" fontId="80" fillId="0" borderId="0"/>
    <xf numFmtId="0" fontId="76" fillId="0" borderId="0"/>
  </cellStyleXfs>
  <cellXfs count="1925">
    <xf numFmtId="0" fontId="0" fillId="0" borderId="0" xfId="0"/>
    <xf numFmtId="0" fontId="2" fillId="0" borderId="0" xfId="0" applyFont="1" applyFill="1" applyAlignment="1">
      <alignment vertical="center" shrinkToFit="1"/>
    </xf>
    <xf numFmtId="0" fontId="4" fillId="0" borderId="0" xfId="0" applyFont="1" applyFill="1" applyAlignment="1">
      <alignment shrinkToFit="1"/>
    </xf>
    <xf numFmtId="0" fontId="5" fillId="0" borderId="0" xfId="0" applyFont="1" applyFill="1" applyAlignment="1">
      <alignment shrinkToFit="1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shrinkToFit="1"/>
    </xf>
    <xf numFmtId="0" fontId="6" fillId="0" borderId="0" xfId="0" applyFont="1" applyFill="1" applyAlignment="1">
      <alignment shrinkToFit="1"/>
    </xf>
    <xf numFmtId="0" fontId="6" fillId="0" borderId="0" xfId="0" applyFont="1" applyFill="1" applyAlignment="1">
      <alignment vertical="center" shrinkToFit="1"/>
    </xf>
    <xf numFmtId="3" fontId="8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0" fontId="8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/>
    <xf numFmtId="0" fontId="14" fillId="0" borderId="0" xfId="0" applyFont="1" applyFill="1" applyAlignment="1">
      <alignment vertical="center" shrinkToFit="1"/>
    </xf>
    <xf numFmtId="49" fontId="14" fillId="0" borderId="0" xfId="0" applyNumberFormat="1" applyFont="1" applyFill="1" applyAlignment="1">
      <alignment vertical="center" shrinkToFit="1"/>
    </xf>
    <xf numFmtId="0" fontId="15" fillId="0" borderId="0" xfId="0" applyFont="1" applyFill="1" applyBorder="1" applyAlignment="1">
      <alignment horizontal="justify" vertical="center" shrinkToFit="1"/>
    </xf>
    <xf numFmtId="0" fontId="16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9" fillId="0" borderId="0" xfId="0" applyFont="1" applyAlignment="1">
      <alignment vertical="center" wrapText="1"/>
    </xf>
    <xf numFmtId="0" fontId="20" fillId="0" borderId="0" xfId="0" applyFont="1"/>
    <xf numFmtId="3" fontId="11" fillId="0" borderId="0" xfId="2" applyNumberFormat="1" applyFont="1" applyFill="1" applyAlignment="1">
      <alignment vertical="center"/>
    </xf>
    <xf numFmtId="3" fontId="12" fillId="0" borderId="0" xfId="2" applyNumberFormat="1" applyFont="1" applyFill="1" applyBorder="1" applyAlignment="1">
      <alignment horizontal="center" vertical="center"/>
    </xf>
    <xf numFmtId="3" fontId="13" fillId="0" borderId="0" xfId="2" applyNumberFormat="1" applyFont="1" applyFill="1" applyAlignment="1">
      <alignment vertical="center"/>
    </xf>
    <xf numFmtId="0" fontId="17" fillId="0" borderId="0" xfId="0" applyFont="1"/>
    <xf numFmtId="3" fontId="0" fillId="0" borderId="0" xfId="0" applyNumberFormat="1"/>
    <xf numFmtId="3" fontId="28" fillId="0" borderId="0" xfId="2" applyNumberFormat="1" applyFont="1" applyFill="1" applyAlignment="1">
      <alignment vertical="center"/>
    </xf>
    <xf numFmtId="3" fontId="27" fillId="0" borderId="0" xfId="0" applyNumberFormat="1" applyFont="1" applyFill="1" applyAlignment="1">
      <alignment vertical="center"/>
    </xf>
    <xf numFmtId="3" fontId="29" fillId="0" borderId="0" xfId="2" applyNumberFormat="1" applyFont="1" applyFill="1" applyAlignment="1">
      <alignment vertical="center"/>
    </xf>
    <xf numFmtId="0" fontId="31" fillId="0" borderId="0" xfId="0" applyFont="1" applyFill="1" applyBorder="1" applyAlignment="1">
      <alignment vertical="center" shrinkToFit="1"/>
    </xf>
    <xf numFmtId="0" fontId="33" fillId="0" borderId="0" xfId="0" applyFont="1"/>
    <xf numFmtId="3" fontId="0" fillId="0" borderId="0" xfId="0" applyNumberFormat="1" applyAlignment="1"/>
    <xf numFmtId="3" fontId="34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 shrinkToFit="1"/>
    </xf>
    <xf numFmtId="3" fontId="7" fillId="0" borderId="0" xfId="0" applyNumberFormat="1" applyFont="1" applyFill="1" applyAlignment="1">
      <alignment shrinkToFit="1"/>
    </xf>
    <xf numFmtId="0" fontId="14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3" fontId="11" fillId="0" borderId="0" xfId="0" applyNumberFormat="1" applyFont="1" applyFill="1" applyAlignment="1">
      <alignment vertical="center"/>
    </xf>
    <xf numFmtId="3" fontId="11" fillId="0" borderId="0" xfId="0" applyNumberFormat="1" applyFont="1" applyFill="1" applyAlignment="1">
      <alignment horizontal="center" vertical="center"/>
    </xf>
    <xf numFmtId="3" fontId="23" fillId="0" borderId="0" xfId="0" applyNumberFormat="1" applyFont="1" applyFill="1" applyAlignment="1">
      <alignment vertical="center"/>
    </xf>
    <xf numFmtId="3" fontId="23" fillId="0" borderId="0" xfId="0" applyNumberFormat="1" applyFont="1" applyFill="1" applyAlignment="1">
      <alignment horizontal="right" vertical="center"/>
    </xf>
    <xf numFmtId="0" fontId="37" fillId="0" borderId="0" xfId="0" applyFont="1" applyFill="1" applyAlignment="1">
      <alignment horizontal="center" shrinkToFit="1"/>
    </xf>
    <xf numFmtId="2" fontId="23" fillId="0" borderId="0" xfId="0" applyNumberFormat="1" applyFont="1" applyFill="1" applyAlignment="1">
      <alignment shrinkToFit="1"/>
    </xf>
    <xf numFmtId="0" fontId="37" fillId="0" borderId="0" xfId="0" applyFont="1" applyFill="1" applyAlignment="1">
      <alignment horizontal="justify" shrinkToFit="1"/>
    </xf>
    <xf numFmtId="0" fontId="37" fillId="0" borderId="0" xfId="0" applyFont="1" applyFill="1" applyAlignment="1">
      <alignment horizontal="right" shrinkToFit="1"/>
    </xf>
    <xf numFmtId="0" fontId="23" fillId="0" borderId="17" xfId="0" applyFont="1" applyFill="1" applyBorder="1" applyAlignment="1">
      <alignment horizontal="center" shrinkToFit="1"/>
    </xf>
    <xf numFmtId="2" fontId="23" fillId="0" borderId="7" xfId="0" applyNumberFormat="1" applyFont="1" applyFill="1" applyBorder="1" applyAlignment="1">
      <alignment shrinkToFit="1"/>
    </xf>
    <xf numFmtId="0" fontId="23" fillId="0" borderId="10" xfId="0" applyFont="1" applyFill="1" applyBorder="1" applyAlignment="1">
      <alignment horizontal="justify" shrinkToFit="1"/>
    </xf>
    <xf numFmtId="0" fontId="23" fillId="0" borderId="34" xfId="0" applyFont="1" applyFill="1" applyBorder="1" applyAlignment="1">
      <alignment horizontal="center" shrinkToFit="1"/>
    </xf>
    <xf numFmtId="0" fontId="24" fillId="0" borderId="9" xfId="0" applyFont="1" applyFill="1" applyBorder="1" applyAlignment="1">
      <alignment horizontal="center" shrinkToFit="1"/>
    </xf>
    <xf numFmtId="0" fontId="23" fillId="0" borderId="4" xfId="0" applyFont="1" applyFill="1" applyBorder="1" applyAlignment="1">
      <alignment horizontal="center" shrinkToFit="1"/>
    </xf>
    <xf numFmtId="2" fontId="23" fillId="0" borderId="35" xfId="0" applyNumberFormat="1" applyFont="1" applyFill="1" applyBorder="1" applyAlignment="1">
      <alignment shrinkToFit="1"/>
    </xf>
    <xf numFmtId="0" fontId="36" fillId="0" borderId="5" xfId="0" applyFont="1" applyFill="1" applyBorder="1" applyAlignment="1">
      <alignment horizontal="justify" shrinkToFit="1"/>
    </xf>
    <xf numFmtId="0" fontId="36" fillId="0" borderId="36" xfId="0" applyFont="1" applyFill="1" applyBorder="1" applyAlignment="1">
      <alignment horizontal="center" shrinkToFit="1"/>
    </xf>
    <xf numFmtId="0" fontId="23" fillId="0" borderId="1" xfId="0" applyFont="1" applyFill="1" applyBorder="1" applyAlignment="1">
      <alignment horizontal="center" shrinkToFit="1"/>
    </xf>
    <xf numFmtId="2" fontId="24" fillId="0" borderId="2" xfId="0" applyNumberFormat="1" applyFont="1" applyFill="1" applyBorder="1" applyAlignment="1">
      <alignment horizontal="center" vertical="center" shrinkToFit="1"/>
    </xf>
    <xf numFmtId="2" fontId="24" fillId="0" borderId="11" xfId="0" applyNumberFormat="1" applyFont="1" applyFill="1" applyBorder="1" applyAlignment="1">
      <alignment shrinkToFit="1"/>
    </xf>
    <xf numFmtId="3" fontId="37" fillId="0" borderId="0" xfId="0" applyNumberFormat="1" applyFont="1" applyFill="1" applyAlignment="1">
      <alignment horizontal="justify" shrinkToFit="1"/>
    </xf>
    <xf numFmtId="0" fontId="38" fillId="0" borderId="0" xfId="0" applyFont="1" applyFill="1" applyAlignment="1">
      <alignment horizontal="justify" shrinkToFit="1"/>
    </xf>
    <xf numFmtId="0" fontId="38" fillId="0" borderId="0" xfId="0" applyFont="1" applyFill="1" applyAlignment="1">
      <alignment horizontal="center" shrinkToFit="1"/>
    </xf>
    <xf numFmtId="4" fontId="28" fillId="0" borderId="0" xfId="2" applyNumberFormat="1" applyFont="1" applyFill="1" applyAlignment="1">
      <alignment vertical="center"/>
    </xf>
    <xf numFmtId="3" fontId="11" fillId="0" borderId="1" xfId="2" applyNumberFormat="1" applyFont="1" applyFill="1" applyBorder="1" applyAlignment="1">
      <alignment vertical="center"/>
    </xf>
    <xf numFmtId="3" fontId="28" fillId="0" borderId="1" xfId="2" applyNumberFormat="1" applyFont="1" applyFill="1" applyBorder="1" applyAlignment="1">
      <alignment vertical="center"/>
    </xf>
    <xf numFmtId="3" fontId="24" fillId="2" borderId="37" xfId="0" applyNumberFormat="1" applyFont="1" applyFill="1" applyBorder="1" applyAlignment="1">
      <alignment horizontal="right" shrinkToFit="1"/>
    </xf>
    <xf numFmtId="3" fontId="37" fillId="0" borderId="0" xfId="0" applyNumberFormat="1" applyFont="1" applyFill="1" applyAlignment="1">
      <alignment horizontal="right" shrinkToFit="1"/>
    </xf>
    <xf numFmtId="0" fontId="3" fillId="0" borderId="0" xfId="0" applyFont="1" applyFill="1" applyAlignment="1">
      <alignment vertical="center" wrapText="1" shrinkToFit="1"/>
    </xf>
    <xf numFmtId="3" fontId="38" fillId="0" borderId="0" xfId="0" applyNumberFormat="1" applyFont="1" applyFill="1" applyAlignment="1">
      <alignment horizontal="justify" shrinkToFit="1"/>
    </xf>
    <xf numFmtId="3" fontId="6" fillId="0" borderId="0" xfId="0" applyNumberFormat="1" applyFont="1" applyFill="1" applyAlignment="1">
      <alignment shrinkToFit="1"/>
    </xf>
    <xf numFmtId="3" fontId="4" fillId="0" borderId="0" xfId="0" applyNumberFormat="1" applyFont="1" applyFill="1" applyAlignment="1">
      <alignment shrinkToFit="1"/>
    </xf>
    <xf numFmtId="3" fontId="11" fillId="0" borderId="0" xfId="0" applyNumberFormat="1" applyFont="1" applyFill="1" applyAlignment="1">
      <alignment horizontal="right" vertical="center" shrinkToFit="1"/>
    </xf>
    <xf numFmtId="0" fontId="11" fillId="0" borderId="0" xfId="0" applyFont="1" applyFill="1" applyAlignment="1">
      <alignment vertical="center" shrinkToFit="1"/>
    </xf>
    <xf numFmtId="3" fontId="35" fillId="0" borderId="0" xfId="2" applyNumberFormat="1" applyFont="1" applyFill="1" applyAlignment="1">
      <alignment horizontal="center" vertical="center"/>
    </xf>
    <xf numFmtId="3" fontId="20" fillId="0" borderId="0" xfId="0" applyNumberFormat="1" applyFont="1"/>
    <xf numFmtId="3" fontId="13" fillId="0" borderId="0" xfId="2" applyNumberFormat="1" applyFont="1" applyFill="1" applyBorder="1" applyAlignment="1">
      <alignment vertical="center"/>
    </xf>
    <xf numFmtId="3" fontId="29" fillId="0" borderId="0" xfId="2" applyNumberFormat="1" applyFont="1" applyFill="1" applyBorder="1" applyAlignment="1">
      <alignment vertical="center"/>
    </xf>
    <xf numFmtId="3" fontId="40" fillId="0" borderId="0" xfId="2" applyNumberFormat="1" applyFont="1" applyFill="1" applyBorder="1" applyAlignment="1">
      <alignment horizontal="right" vertical="center"/>
    </xf>
    <xf numFmtId="3" fontId="11" fillId="0" borderId="0" xfId="2" applyNumberFormat="1" applyFont="1" applyFill="1" applyBorder="1" applyAlignment="1">
      <alignment vertical="center"/>
    </xf>
    <xf numFmtId="3" fontId="28" fillId="0" borderId="0" xfId="2" applyNumberFormat="1" applyFont="1" applyFill="1" applyBorder="1" applyAlignment="1">
      <alignment vertical="center"/>
    </xf>
    <xf numFmtId="3" fontId="8" fillId="3" borderId="0" xfId="0" applyNumberFormat="1" applyFont="1" applyFill="1" applyAlignment="1">
      <alignment vertical="center"/>
    </xf>
    <xf numFmtId="3" fontId="10" fillId="3" borderId="0" xfId="0" applyNumberFormat="1" applyFont="1" applyFill="1" applyAlignment="1">
      <alignment vertical="center"/>
    </xf>
    <xf numFmtId="3" fontId="27" fillId="3" borderId="0" xfId="0" applyNumberFormat="1" applyFont="1" applyFill="1" applyAlignment="1">
      <alignment vertical="center"/>
    </xf>
    <xf numFmtId="3" fontId="9" fillId="3" borderId="0" xfId="0" applyNumberFormat="1" applyFont="1" applyFill="1" applyAlignment="1">
      <alignment vertical="center"/>
    </xf>
    <xf numFmtId="3" fontId="43" fillId="3" borderId="0" xfId="0" applyNumberFormat="1" applyFont="1" applyFill="1" applyAlignment="1">
      <alignment vertical="center"/>
    </xf>
    <xf numFmtId="3" fontId="44" fillId="3" borderId="0" xfId="0" applyNumberFormat="1" applyFont="1" applyFill="1" applyAlignment="1">
      <alignment vertical="center"/>
    </xf>
    <xf numFmtId="3" fontId="34" fillId="3" borderId="0" xfId="0" applyNumberFormat="1" applyFont="1" applyFill="1" applyAlignment="1">
      <alignment vertical="center"/>
    </xf>
    <xf numFmtId="3" fontId="42" fillId="3" borderId="0" xfId="2" applyNumberFormat="1" applyFont="1" applyFill="1" applyAlignment="1">
      <alignment horizontal="center" vertical="center"/>
    </xf>
    <xf numFmtId="3" fontId="41" fillId="3" borderId="0" xfId="2" applyNumberFormat="1" applyFont="1" applyFill="1" applyAlignment="1">
      <alignment vertical="center"/>
    </xf>
    <xf numFmtId="3" fontId="23" fillId="3" borderId="8" xfId="0" applyNumberFormat="1" applyFont="1" applyFill="1" applyBorder="1" applyAlignment="1">
      <alignment horizontal="right" vertical="center"/>
    </xf>
    <xf numFmtId="3" fontId="23" fillId="3" borderId="27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shrinkToFit="1"/>
    </xf>
    <xf numFmtId="3" fontId="6" fillId="0" borderId="0" xfId="0" applyNumberFormat="1" applyFont="1" applyFill="1" applyBorder="1" applyAlignment="1">
      <alignment vertical="center" shrinkToFit="1"/>
    </xf>
    <xf numFmtId="3" fontId="8" fillId="0" borderId="0" xfId="0" applyNumberFormat="1" applyFont="1" applyFill="1" applyBorder="1" applyAlignment="1">
      <alignment vertical="center"/>
    </xf>
    <xf numFmtId="3" fontId="23" fillId="4" borderId="0" xfId="0" applyNumberFormat="1" applyFont="1" applyFill="1" applyBorder="1" applyAlignment="1">
      <alignment horizontal="right" vertical="center"/>
    </xf>
    <xf numFmtId="3" fontId="24" fillId="4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shrinkToFit="1"/>
    </xf>
    <xf numFmtId="3" fontId="5" fillId="0" borderId="0" xfId="0" applyNumberFormat="1" applyFont="1" applyFill="1" applyBorder="1" applyAlignment="1">
      <alignment vertical="center" shrinkToFit="1"/>
    </xf>
    <xf numFmtId="3" fontId="23" fillId="3" borderId="11" xfId="0" applyNumberFormat="1" applyFont="1" applyFill="1" applyBorder="1" applyAlignment="1">
      <alignment horizontal="right" vertical="center"/>
    </xf>
    <xf numFmtId="3" fontId="23" fillId="3" borderId="26" xfId="0" applyNumberFormat="1" applyFont="1" applyFill="1" applyBorder="1" applyAlignment="1">
      <alignment horizontal="right" vertical="center"/>
    </xf>
    <xf numFmtId="3" fontId="24" fillId="0" borderId="37" xfId="0" applyNumberFormat="1" applyFont="1" applyFill="1" applyBorder="1" applyAlignment="1">
      <alignment horizontal="right" shrinkToFit="1"/>
    </xf>
    <xf numFmtId="3" fontId="24" fillId="0" borderId="3" xfId="0" applyNumberFormat="1" applyFont="1" applyFill="1" applyBorder="1" applyAlignment="1">
      <alignment horizontal="right" shrinkToFit="1"/>
    </xf>
    <xf numFmtId="3" fontId="24" fillId="0" borderId="11" xfId="0" applyNumberFormat="1" applyFont="1" applyFill="1" applyBorder="1" applyAlignment="1">
      <alignment horizontal="right" shrinkToFit="1"/>
    </xf>
    <xf numFmtId="3" fontId="47" fillId="0" borderId="0" xfId="2" applyNumberFormat="1" applyFont="1" applyFill="1" applyBorder="1" applyAlignment="1">
      <alignment vertical="center"/>
    </xf>
    <xf numFmtId="0" fontId="14" fillId="0" borderId="18" xfId="0" applyFont="1" applyFill="1" applyBorder="1" applyAlignment="1">
      <alignment vertical="center" shrinkToFit="1"/>
    </xf>
    <xf numFmtId="3" fontId="11" fillId="3" borderId="0" xfId="2" applyNumberFormat="1" applyFont="1" applyFill="1" applyAlignment="1">
      <alignment vertical="center"/>
    </xf>
    <xf numFmtId="0" fontId="0" fillId="0" borderId="0" xfId="0"/>
    <xf numFmtId="4" fontId="19" fillId="7" borderId="47" xfId="2" applyNumberFormat="1" applyFont="1" applyFill="1" applyBorder="1" applyAlignment="1">
      <alignment horizontal="right" vertical="center"/>
    </xf>
    <xf numFmtId="4" fontId="19" fillId="3" borderId="53" xfId="2" applyNumberFormat="1" applyFont="1" applyFill="1" applyBorder="1" applyAlignment="1">
      <alignment horizontal="right" vertical="center"/>
    </xf>
    <xf numFmtId="4" fontId="19" fillId="3" borderId="54" xfId="2" applyNumberFormat="1" applyFont="1" applyFill="1" applyBorder="1" applyAlignment="1">
      <alignment horizontal="right" vertical="center"/>
    </xf>
    <xf numFmtId="4" fontId="19" fillId="3" borderId="20" xfId="2" applyNumberFormat="1" applyFont="1" applyFill="1" applyBorder="1" applyAlignment="1">
      <alignment horizontal="right" vertical="center"/>
    </xf>
    <xf numFmtId="3" fontId="19" fillId="7" borderId="5" xfId="2" applyNumberFormat="1" applyFont="1" applyFill="1" applyBorder="1" applyAlignment="1">
      <alignment horizontal="center" vertical="center"/>
    </xf>
    <xf numFmtId="3" fontId="19" fillId="7" borderId="5" xfId="2" applyNumberFormat="1" applyFont="1" applyFill="1" applyBorder="1" applyAlignment="1">
      <alignment horizontal="center" vertical="center" wrapText="1"/>
    </xf>
    <xf numFmtId="3" fontId="39" fillId="7" borderId="5" xfId="0" applyNumberFormat="1" applyFont="1" applyFill="1" applyBorder="1" applyAlignment="1">
      <alignment horizontal="center" vertical="center" wrapText="1"/>
    </xf>
    <xf numFmtId="4" fontId="19" fillId="7" borderId="21" xfId="2" applyNumberFormat="1" applyFont="1" applyFill="1" applyBorder="1" applyAlignment="1">
      <alignment horizontal="right" vertical="center"/>
    </xf>
    <xf numFmtId="3" fontId="19" fillId="7" borderId="46" xfId="2" applyNumberFormat="1" applyFont="1" applyFill="1" applyBorder="1" applyAlignment="1">
      <alignment horizontal="center" vertical="center" wrapText="1"/>
    </xf>
    <xf numFmtId="3" fontId="39" fillId="7" borderId="46" xfId="0" applyNumberFormat="1" applyFont="1" applyFill="1" applyBorder="1" applyAlignment="1">
      <alignment horizontal="center" vertical="center" wrapText="1"/>
    </xf>
    <xf numFmtId="3" fontId="19" fillId="3" borderId="9" xfId="2" applyNumberFormat="1" applyFont="1" applyFill="1" applyBorder="1" applyAlignment="1">
      <alignment horizontal="center" vertical="center"/>
    </xf>
    <xf numFmtId="3" fontId="19" fillId="3" borderId="9" xfId="2" applyNumberFormat="1" applyFont="1" applyFill="1" applyBorder="1" applyAlignment="1">
      <alignment horizontal="center" vertical="center" wrapText="1"/>
    </xf>
    <xf numFmtId="3" fontId="27" fillId="3" borderId="15" xfId="2" applyNumberFormat="1" applyFont="1" applyFill="1" applyBorder="1" applyAlignment="1">
      <alignment horizontal="left" vertical="center" indent="2"/>
    </xf>
    <xf numFmtId="3" fontId="19" fillId="3" borderId="16" xfId="2" applyNumberFormat="1" applyFont="1" applyFill="1" applyBorder="1" applyAlignment="1">
      <alignment horizontal="center" vertical="center" wrapText="1"/>
    </xf>
    <xf numFmtId="3" fontId="39" fillId="3" borderId="16" xfId="0" applyNumberFormat="1" applyFont="1" applyFill="1" applyBorder="1" applyAlignment="1">
      <alignment horizontal="center" vertical="center" wrapText="1"/>
    </xf>
    <xf numFmtId="3" fontId="48" fillId="3" borderId="13" xfId="2" applyNumberFormat="1" applyFont="1" applyFill="1" applyBorder="1" applyAlignment="1">
      <alignment horizontal="left" vertical="center" indent="2"/>
    </xf>
    <xf numFmtId="3" fontId="19" fillId="3" borderId="15" xfId="2" applyNumberFormat="1" applyFont="1" applyFill="1" applyBorder="1" applyAlignment="1">
      <alignment horizontal="center" vertical="center"/>
    </xf>
    <xf numFmtId="3" fontId="19" fillId="3" borderId="15" xfId="2" applyNumberFormat="1" applyFont="1" applyFill="1" applyBorder="1" applyAlignment="1">
      <alignment horizontal="center" vertical="center" wrapText="1"/>
    </xf>
    <xf numFmtId="3" fontId="39" fillId="3" borderId="15" xfId="0" applyNumberFormat="1" applyFont="1" applyFill="1" applyBorder="1" applyAlignment="1">
      <alignment horizontal="center" vertical="center" wrapText="1"/>
    </xf>
    <xf numFmtId="3" fontId="19" fillId="3" borderId="13" xfId="2" applyNumberFormat="1" applyFont="1" applyFill="1" applyBorder="1" applyAlignment="1">
      <alignment horizontal="center" vertical="center"/>
    </xf>
    <xf numFmtId="3" fontId="19" fillId="3" borderId="13" xfId="2" applyNumberFormat="1" applyFont="1" applyFill="1" applyBorder="1" applyAlignment="1">
      <alignment horizontal="center" vertical="center" wrapText="1"/>
    </xf>
    <xf numFmtId="3" fontId="39" fillId="3" borderId="13" xfId="0" applyNumberFormat="1" applyFont="1" applyFill="1" applyBorder="1" applyAlignment="1">
      <alignment horizontal="center" vertical="center" wrapText="1"/>
    </xf>
    <xf numFmtId="3" fontId="39" fillId="3" borderId="9" xfId="0" applyNumberFormat="1" applyFont="1" applyFill="1" applyBorder="1" applyAlignment="1">
      <alignment horizontal="center" vertical="center" wrapText="1"/>
    </xf>
    <xf numFmtId="4" fontId="19" fillId="3" borderId="50" xfId="2" applyNumberFormat="1" applyFont="1" applyFill="1" applyBorder="1" applyAlignment="1">
      <alignment horizontal="right" vertical="center"/>
    </xf>
    <xf numFmtId="3" fontId="34" fillId="3" borderId="0" xfId="0" applyNumberFormat="1" applyFont="1" applyFill="1" applyBorder="1" applyAlignment="1">
      <alignment vertical="center"/>
    </xf>
    <xf numFmtId="0" fontId="0" fillId="0" borderId="0" xfId="0"/>
    <xf numFmtId="3" fontId="33" fillId="0" borderId="0" xfId="0" applyNumberFormat="1" applyFont="1"/>
    <xf numFmtId="0" fontId="33" fillId="0" borderId="0" xfId="0" applyFont="1" applyAlignment="1">
      <alignment wrapText="1"/>
    </xf>
    <xf numFmtId="3" fontId="11" fillId="0" borderId="15" xfId="2" applyNumberFormat="1" applyFont="1" applyFill="1" applyBorder="1" applyAlignment="1">
      <alignment vertical="center"/>
    </xf>
    <xf numFmtId="3" fontId="11" fillId="3" borderId="0" xfId="0" applyNumberFormat="1" applyFont="1" applyFill="1" applyAlignment="1">
      <alignment horizontal="center" vertical="center"/>
    </xf>
    <xf numFmtId="3" fontId="11" fillId="3" borderId="0" xfId="0" applyNumberFormat="1" applyFont="1" applyFill="1" applyBorder="1" applyAlignment="1">
      <alignment horizontal="center" vertical="center"/>
    </xf>
    <xf numFmtId="3" fontId="23" fillId="3" borderId="0" xfId="0" applyNumberFormat="1" applyFont="1" applyFill="1" applyBorder="1" applyAlignment="1">
      <alignment vertical="center"/>
    </xf>
    <xf numFmtId="3" fontId="23" fillId="3" borderId="0" xfId="0" applyNumberFormat="1" applyFont="1" applyFill="1" applyBorder="1" applyAlignment="1">
      <alignment horizontal="left" vertical="center"/>
    </xf>
    <xf numFmtId="3" fontId="11" fillId="3" borderId="18" xfId="0" applyNumberFormat="1" applyFont="1" applyFill="1" applyBorder="1" applyAlignment="1">
      <alignment horizontal="center" vertical="center"/>
    </xf>
    <xf numFmtId="3" fontId="23" fillId="3" borderId="18" xfId="0" applyNumberFormat="1" applyFont="1" applyFill="1" applyBorder="1" applyAlignment="1">
      <alignment vertical="center"/>
    </xf>
    <xf numFmtId="3" fontId="23" fillId="3" borderId="18" xfId="0" applyNumberFormat="1" applyFont="1" applyFill="1" applyBorder="1" applyAlignment="1">
      <alignment horizontal="left" vertical="center"/>
    </xf>
    <xf numFmtId="3" fontId="23" fillId="3" borderId="18" xfId="0" applyNumberFormat="1" applyFont="1" applyFill="1" applyBorder="1" applyAlignment="1">
      <alignment horizontal="right" vertical="center"/>
    </xf>
    <xf numFmtId="3" fontId="11" fillId="3" borderId="17" xfId="0" applyNumberFormat="1" applyFont="1" applyFill="1" applyBorder="1" applyAlignment="1">
      <alignment horizontal="center" vertical="center"/>
    </xf>
    <xf numFmtId="3" fontId="13" fillId="3" borderId="22" xfId="0" applyNumberFormat="1" applyFont="1" applyFill="1" applyBorder="1" applyAlignment="1">
      <alignment vertical="center"/>
    </xf>
    <xf numFmtId="3" fontId="13" fillId="3" borderId="4" xfId="0" applyNumberFormat="1" applyFont="1" applyFill="1" applyBorder="1" applyAlignment="1">
      <alignment vertical="center"/>
    </xf>
    <xf numFmtId="3" fontId="13" fillId="3" borderId="18" xfId="0" applyNumberFormat="1" applyFont="1" applyFill="1" applyBorder="1" applyAlignment="1">
      <alignment vertical="center"/>
    </xf>
    <xf numFmtId="3" fontId="23" fillId="0" borderId="0" xfId="0" applyNumberFormat="1" applyFont="1" applyFill="1" applyAlignment="1">
      <alignment horizontal="left" vertical="center"/>
    </xf>
    <xf numFmtId="3" fontId="49" fillId="3" borderId="0" xfId="0" applyNumberFormat="1" applyFont="1" applyFill="1" applyBorder="1" applyAlignment="1">
      <alignment vertical="center"/>
    </xf>
    <xf numFmtId="3" fontId="24" fillId="0" borderId="15" xfId="0" applyNumberFormat="1" applyFont="1" applyBorder="1" applyAlignment="1">
      <alignment horizontal="center" vertical="center" wrapText="1"/>
    </xf>
    <xf numFmtId="3" fontId="24" fillId="0" borderId="15" xfId="0" quotePrefix="1" applyNumberFormat="1" applyFont="1" applyBorder="1" applyAlignment="1">
      <alignment horizontal="center" vertical="center" wrapText="1"/>
    </xf>
    <xf numFmtId="3" fontId="23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 indent="1"/>
    </xf>
    <xf numFmtId="0" fontId="11" fillId="0" borderId="15" xfId="0" applyFont="1" applyBorder="1" applyAlignment="1">
      <alignment vertical="center" wrapText="1"/>
    </xf>
    <xf numFmtId="3" fontId="11" fillId="0" borderId="15" xfId="0" applyNumberFormat="1" applyFont="1" applyBorder="1" applyAlignment="1">
      <alignment vertical="center" wrapText="1"/>
    </xf>
    <xf numFmtId="3" fontId="28" fillId="0" borderId="15" xfId="0" applyNumberFormat="1" applyFont="1" applyBorder="1" applyAlignment="1">
      <alignment vertical="center" wrapText="1"/>
    </xf>
    <xf numFmtId="3" fontId="13" fillId="3" borderId="15" xfId="0" applyNumberFormat="1" applyFont="1" applyFill="1" applyBorder="1" applyAlignment="1">
      <alignment vertical="center" wrapText="1"/>
    </xf>
    <xf numFmtId="3" fontId="13" fillId="0" borderId="15" xfId="0" applyNumberFormat="1" applyFont="1" applyBorder="1" applyAlignment="1">
      <alignment vertical="center" wrapText="1"/>
    </xf>
    <xf numFmtId="3" fontId="0" fillId="3" borderId="0" xfId="0" applyNumberFormat="1" applyFill="1"/>
    <xf numFmtId="3" fontId="17" fillId="0" borderId="15" xfId="0" applyNumberFormat="1" applyFont="1" applyBorder="1" applyAlignment="1">
      <alignment horizontal="center"/>
    </xf>
    <xf numFmtId="3" fontId="53" fillId="7" borderId="82" xfId="2" applyNumberFormat="1" applyFont="1" applyFill="1" applyBorder="1" applyAlignment="1">
      <alignment horizontal="center" vertical="center"/>
    </xf>
    <xf numFmtId="3" fontId="53" fillId="7" borderId="45" xfId="2" applyNumberFormat="1" applyFont="1" applyFill="1" applyBorder="1" applyAlignment="1">
      <alignment horizontal="center" vertical="center"/>
    </xf>
    <xf numFmtId="3" fontId="17" fillId="3" borderId="16" xfId="2" applyNumberFormat="1" applyFont="1" applyFill="1" applyBorder="1" applyAlignment="1">
      <alignment horizontal="center" vertical="center"/>
    </xf>
    <xf numFmtId="3" fontId="17" fillId="3" borderId="16" xfId="2" applyNumberFormat="1" applyFont="1" applyFill="1" applyBorder="1" applyAlignment="1">
      <alignment horizontal="center" vertical="center" wrapText="1"/>
    </xf>
    <xf numFmtId="3" fontId="24" fillId="3" borderId="13" xfId="0" applyNumberFormat="1" applyFont="1" applyFill="1" applyBorder="1" applyAlignment="1">
      <alignment horizontal="right" vertical="center"/>
    </xf>
    <xf numFmtId="3" fontId="24" fillId="3" borderId="15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shrinkToFit="1"/>
    </xf>
    <xf numFmtId="3" fontId="24" fillId="10" borderId="15" xfId="0" applyNumberFormat="1" applyFont="1" applyFill="1" applyBorder="1" applyAlignment="1">
      <alignment horizontal="right" vertical="center"/>
    </xf>
    <xf numFmtId="3" fontId="24" fillId="10" borderId="62" xfId="0" applyNumberFormat="1" applyFont="1" applyFill="1" applyBorder="1" applyAlignment="1">
      <alignment horizontal="right" vertical="center"/>
    </xf>
    <xf numFmtId="3" fontId="24" fillId="10" borderId="81" xfId="0" applyNumberFormat="1" applyFont="1" applyFill="1" applyBorder="1" applyAlignment="1">
      <alignment horizontal="right" vertical="center"/>
    </xf>
    <xf numFmtId="3" fontId="27" fillId="3" borderId="9" xfId="2" applyNumberFormat="1" applyFont="1" applyFill="1" applyBorder="1" applyAlignment="1">
      <alignment horizontal="left" vertical="center" indent="2"/>
    </xf>
    <xf numFmtId="3" fontId="48" fillId="3" borderId="8" xfId="2" applyNumberFormat="1" applyFont="1" applyFill="1" applyBorder="1" applyAlignment="1">
      <alignment horizontal="left" vertical="center" indent="2"/>
    </xf>
    <xf numFmtId="3" fontId="27" fillId="3" borderId="8" xfId="2" applyNumberFormat="1" applyFont="1" applyFill="1" applyBorder="1" applyAlignment="1">
      <alignment horizontal="left" vertical="center" indent="2"/>
    </xf>
    <xf numFmtId="3" fontId="48" fillId="3" borderId="11" xfId="2" applyNumberFormat="1" applyFont="1" applyFill="1" applyBorder="1" applyAlignment="1">
      <alignment horizontal="left" vertical="center" indent="2"/>
    </xf>
    <xf numFmtId="3" fontId="27" fillId="3" borderId="11" xfId="2" applyNumberFormat="1" applyFont="1" applyFill="1" applyBorder="1" applyAlignment="1">
      <alignment horizontal="left" vertical="center" indent="2"/>
    </xf>
    <xf numFmtId="3" fontId="23" fillId="3" borderId="9" xfId="0" applyNumberFormat="1" applyFont="1" applyFill="1" applyBorder="1" applyAlignment="1">
      <alignment horizontal="left" vertical="center"/>
    </xf>
    <xf numFmtId="3" fontId="48" fillId="3" borderId="9" xfId="2" applyNumberFormat="1" applyFont="1" applyFill="1" applyBorder="1" applyAlignment="1">
      <alignment horizontal="left" vertical="center" indent="2"/>
    </xf>
    <xf numFmtId="3" fontId="24" fillId="10" borderId="72" xfId="0" applyNumberFormat="1" applyFont="1" applyFill="1" applyBorder="1" applyAlignment="1">
      <alignment horizontal="right" vertical="center"/>
    </xf>
    <xf numFmtId="3" fontId="23" fillId="10" borderId="53" xfId="0" applyNumberFormat="1" applyFont="1" applyFill="1" applyBorder="1" applyAlignment="1">
      <alignment horizontal="right" vertical="center"/>
    </xf>
    <xf numFmtId="3" fontId="48" fillId="3" borderId="27" xfId="2" applyNumberFormat="1" applyFont="1" applyFill="1" applyBorder="1" applyAlignment="1">
      <alignment horizontal="left" vertical="center" indent="2"/>
    </xf>
    <xf numFmtId="3" fontId="29" fillId="10" borderId="58" xfId="0" applyNumberFormat="1" applyFont="1" applyFill="1" applyBorder="1" applyAlignment="1">
      <alignment horizontal="center" vertical="center"/>
    </xf>
    <xf numFmtId="3" fontId="29" fillId="10" borderId="74" xfId="0" applyNumberFormat="1" applyFont="1" applyFill="1" applyBorder="1" applyAlignment="1">
      <alignment horizontal="center" vertical="center"/>
    </xf>
    <xf numFmtId="3" fontId="28" fillId="10" borderId="74" xfId="0" applyNumberFormat="1" applyFont="1" applyFill="1" applyBorder="1" applyAlignment="1">
      <alignment horizontal="center" vertical="center"/>
    </xf>
    <xf numFmtId="3" fontId="45" fillId="10" borderId="74" xfId="0" applyNumberFormat="1" applyFont="1" applyFill="1" applyBorder="1" applyAlignment="1">
      <alignment vertical="center"/>
    </xf>
    <xf numFmtId="3" fontId="45" fillId="10" borderId="74" xfId="0" applyNumberFormat="1" applyFont="1" applyFill="1" applyBorder="1" applyAlignment="1">
      <alignment horizontal="left" vertical="center"/>
    </xf>
    <xf numFmtId="3" fontId="45" fillId="10" borderId="15" xfId="0" applyNumberFormat="1" applyFont="1" applyFill="1" applyBorder="1" applyAlignment="1">
      <alignment vertical="center"/>
    </xf>
    <xf numFmtId="3" fontId="45" fillId="10" borderId="62" xfId="0" applyNumberFormat="1" applyFont="1" applyFill="1" applyBorder="1" applyAlignment="1">
      <alignment vertical="center"/>
    </xf>
    <xf numFmtId="3" fontId="23" fillId="10" borderId="15" xfId="0" applyNumberFormat="1" applyFont="1" applyFill="1" applyBorder="1" applyAlignment="1">
      <alignment horizontal="right" vertical="center"/>
    </xf>
    <xf numFmtId="3" fontId="27" fillId="10" borderId="15" xfId="2" applyNumberFormat="1" applyFont="1" applyFill="1" applyBorder="1" applyAlignment="1">
      <alignment horizontal="left" vertical="center" indent="2"/>
    </xf>
    <xf numFmtId="3" fontId="14" fillId="0" borderId="0" xfId="0" applyNumberFormat="1" applyFont="1" applyFill="1" applyBorder="1" applyAlignment="1">
      <alignment vertical="center" shrinkToFit="1"/>
    </xf>
    <xf numFmtId="41" fontId="14" fillId="0" borderId="0" xfId="0" applyNumberFormat="1" applyFont="1" applyFill="1" applyBorder="1" applyAlignment="1">
      <alignment vertical="center" shrinkToFit="1"/>
    </xf>
    <xf numFmtId="3" fontId="17" fillId="0" borderId="0" xfId="0" applyNumberFormat="1" applyFont="1"/>
    <xf numFmtId="3" fontId="34" fillId="3" borderId="15" xfId="2" applyNumberFormat="1" applyFont="1" applyFill="1" applyBorder="1" applyAlignment="1">
      <alignment horizontal="left" vertical="center" indent="1"/>
    </xf>
    <xf numFmtId="3" fontId="51" fillId="3" borderId="13" xfId="2" applyNumberFormat="1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vertical="center" shrinkToFit="1"/>
    </xf>
    <xf numFmtId="42" fontId="31" fillId="0" borderId="0" xfId="0" applyNumberFormat="1" applyFont="1" applyFill="1" applyBorder="1" applyAlignment="1">
      <alignment vertical="center" shrinkToFit="1"/>
    </xf>
    <xf numFmtId="41" fontId="31" fillId="0" borderId="0" xfId="0" applyNumberFormat="1" applyFont="1" applyFill="1" applyBorder="1" applyAlignment="1">
      <alignment vertical="center" shrinkToFit="1"/>
    </xf>
    <xf numFmtId="41" fontId="15" fillId="0" borderId="0" xfId="0" applyNumberFormat="1" applyFont="1" applyFill="1" applyBorder="1" applyAlignment="1">
      <alignment horizontal="justify" vertical="center" shrinkToFit="1"/>
    </xf>
    <xf numFmtId="3" fontId="53" fillId="7" borderId="84" xfId="2" applyNumberFormat="1" applyFont="1" applyFill="1" applyBorder="1" applyAlignment="1">
      <alignment horizontal="center" vertical="center"/>
    </xf>
    <xf numFmtId="3" fontId="53" fillId="7" borderId="85" xfId="2" applyNumberFormat="1" applyFont="1" applyFill="1" applyBorder="1" applyAlignment="1">
      <alignment horizontal="center" vertical="center"/>
    </xf>
    <xf numFmtId="3" fontId="53" fillId="7" borderId="35" xfId="2" applyNumberFormat="1" applyFont="1" applyFill="1" applyBorder="1" applyAlignment="1">
      <alignment horizontal="center" vertical="center"/>
    </xf>
    <xf numFmtId="3" fontId="53" fillId="3" borderId="49" xfId="2" applyNumberFormat="1" applyFont="1" applyFill="1" applyBorder="1" applyAlignment="1">
      <alignment horizontal="center" vertical="center"/>
    </xf>
    <xf numFmtId="3" fontId="53" fillId="3" borderId="13" xfId="2" applyNumberFormat="1" applyFont="1" applyFill="1" applyBorder="1" applyAlignment="1">
      <alignment horizontal="center" vertical="center"/>
    </xf>
    <xf numFmtId="3" fontId="53" fillId="3" borderId="60" xfId="2" applyNumberFormat="1" applyFont="1" applyFill="1" applyBorder="1" applyAlignment="1">
      <alignment horizontal="center" vertical="center"/>
    </xf>
    <xf numFmtId="3" fontId="53" fillId="3" borderId="15" xfId="2" applyNumberFormat="1" applyFont="1" applyFill="1" applyBorder="1" applyAlignment="1">
      <alignment horizontal="center" vertical="center"/>
    </xf>
    <xf numFmtId="3" fontId="53" fillId="3" borderId="57" xfId="2" applyNumberFormat="1" applyFont="1" applyFill="1" applyBorder="1" applyAlignment="1">
      <alignment horizontal="center" vertical="center"/>
    </xf>
    <xf numFmtId="3" fontId="53" fillId="3" borderId="14" xfId="2" applyNumberFormat="1" applyFont="1" applyFill="1" applyBorder="1" applyAlignment="1">
      <alignment horizontal="center" vertical="center"/>
    </xf>
    <xf numFmtId="3" fontId="54" fillId="7" borderId="82" xfId="2" applyNumberFormat="1" applyFont="1" applyFill="1" applyBorder="1" applyAlignment="1">
      <alignment horizontal="center" vertical="center"/>
    </xf>
    <xf numFmtId="3" fontId="53" fillId="7" borderId="82" xfId="2" applyNumberFormat="1" applyFont="1" applyFill="1" applyBorder="1" applyAlignment="1">
      <alignment vertical="center"/>
    </xf>
    <xf numFmtId="3" fontId="56" fillId="0" borderId="0" xfId="2" applyNumberFormat="1" applyFont="1" applyFill="1" applyAlignment="1">
      <alignment vertical="center"/>
    </xf>
    <xf numFmtId="41" fontId="17" fillId="3" borderId="15" xfId="0" applyNumberFormat="1" applyFont="1" applyFill="1" applyBorder="1" applyAlignment="1">
      <alignment horizontal="center" vertical="center"/>
    </xf>
    <xf numFmtId="3" fontId="19" fillId="7" borderId="82" xfId="2" applyNumberFormat="1" applyFont="1" applyFill="1" applyBorder="1" applyAlignment="1">
      <alignment horizontal="left" vertical="center" wrapText="1" indent="1"/>
    </xf>
    <xf numFmtId="3" fontId="19" fillId="7" borderId="82" xfId="2" applyNumberFormat="1" applyFont="1" applyFill="1" applyBorder="1" applyAlignment="1">
      <alignment vertical="center"/>
    </xf>
    <xf numFmtId="3" fontId="19" fillId="7" borderId="82" xfId="2" applyNumberFormat="1" applyFont="1" applyFill="1" applyBorder="1" applyAlignment="1">
      <alignment horizontal="right" vertical="center"/>
    </xf>
    <xf numFmtId="4" fontId="19" fillId="7" borderId="51" xfId="2" applyNumberFormat="1" applyFont="1" applyFill="1" applyBorder="1" applyAlignment="1">
      <alignment horizontal="right" vertical="center"/>
    </xf>
    <xf numFmtId="3" fontId="51" fillId="7" borderId="82" xfId="2" applyNumberFormat="1" applyFont="1" applyFill="1" applyBorder="1" applyAlignment="1">
      <alignment horizontal="left" vertical="center" indent="2"/>
    </xf>
    <xf numFmtId="3" fontId="19" fillId="7" borderId="83" xfId="2" applyNumberFormat="1" applyFont="1" applyFill="1" applyBorder="1" applyAlignment="1">
      <alignment vertical="center"/>
    </xf>
    <xf numFmtId="3" fontId="17" fillId="9" borderId="13" xfId="2" applyNumberFormat="1" applyFont="1" applyFill="1" applyBorder="1" applyAlignment="1">
      <alignment vertical="center"/>
    </xf>
    <xf numFmtId="3" fontId="17" fillId="9" borderId="13" xfId="2" applyNumberFormat="1" applyFont="1" applyFill="1" applyBorder="1" applyAlignment="1">
      <alignment horizontal="right" vertical="center"/>
    </xf>
    <xf numFmtId="3" fontId="19" fillId="9" borderId="13" xfId="2" applyNumberFormat="1" applyFont="1" applyFill="1" applyBorder="1" applyAlignment="1">
      <alignment vertical="center"/>
    </xf>
    <xf numFmtId="3" fontId="17" fillId="3" borderId="13" xfId="2" applyNumberFormat="1" applyFont="1" applyFill="1" applyBorder="1" applyAlignment="1">
      <alignment vertical="center"/>
    </xf>
    <xf numFmtId="3" fontId="19" fillId="3" borderId="15" xfId="2" applyNumberFormat="1" applyFont="1" applyFill="1" applyBorder="1" applyAlignment="1">
      <alignment horizontal="right" vertical="center"/>
    </xf>
    <xf numFmtId="3" fontId="17" fillId="3" borderId="13" xfId="2" applyNumberFormat="1" applyFont="1" applyFill="1" applyBorder="1" applyAlignment="1">
      <alignment horizontal="right" vertical="center"/>
    </xf>
    <xf numFmtId="3" fontId="19" fillId="3" borderId="13" xfId="2" applyNumberFormat="1" applyFont="1" applyFill="1" applyBorder="1" applyAlignment="1">
      <alignment vertical="center"/>
    </xf>
    <xf numFmtId="3" fontId="48" fillId="0" borderId="15" xfId="2" applyNumberFormat="1" applyFont="1" applyFill="1" applyBorder="1" applyAlignment="1">
      <alignment horizontal="left" vertical="center" indent="2"/>
    </xf>
    <xf numFmtId="3" fontId="16" fillId="0" borderId="0" xfId="0" applyNumberFormat="1" applyFont="1" applyFill="1" applyBorder="1" applyAlignment="1">
      <alignment vertical="center" shrinkToFit="1"/>
    </xf>
    <xf numFmtId="3" fontId="17" fillId="3" borderId="16" xfId="2" applyNumberFormat="1" applyFont="1" applyFill="1" applyBorder="1" applyAlignment="1">
      <alignment horizontal="right" vertical="center"/>
    </xf>
    <xf numFmtId="3" fontId="17" fillId="3" borderId="16" xfId="2" applyNumberFormat="1" applyFont="1" applyFill="1" applyBorder="1" applyAlignment="1">
      <alignment vertical="center"/>
    </xf>
    <xf numFmtId="3" fontId="19" fillId="3" borderId="15" xfId="2" applyNumberFormat="1" applyFont="1" applyFill="1" applyBorder="1" applyAlignment="1">
      <alignment vertical="center"/>
    </xf>
    <xf numFmtId="3" fontId="57" fillId="0" borderId="15" xfId="2" applyNumberFormat="1" applyFont="1" applyFill="1" applyBorder="1" applyAlignment="1">
      <alignment horizontal="center" vertical="center"/>
    </xf>
    <xf numFmtId="1" fontId="57" fillId="0" borderId="15" xfId="2" applyNumberFormat="1" applyFont="1" applyFill="1" applyBorder="1" applyAlignment="1">
      <alignment vertical="center"/>
    </xf>
    <xf numFmtId="1" fontId="57" fillId="0" borderId="15" xfId="2" applyNumberFormat="1" applyFont="1" applyFill="1" applyBorder="1" applyAlignment="1">
      <alignment horizontal="right" vertical="center"/>
    </xf>
    <xf numFmtId="3" fontId="17" fillId="3" borderId="15" xfId="2" applyNumberFormat="1" applyFont="1" applyFill="1" applyBorder="1" applyAlignment="1">
      <alignment horizontal="right" vertical="center"/>
    </xf>
    <xf numFmtId="3" fontId="17" fillId="3" borderId="15" xfId="2" applyNumberFormat="1" applyFont="1" applyFill="1" applyBorder="1" applyAlignment="1">
      <alignment vertical="center"/>
    </xf>
    <xf numFmtId="3" fontId="17" fillId="3" borderId="15" xfId="2" applyNumberFormat="1" applyFont="1" applyFill="1" applyBorder="1" applyAlignment="1">
      <alignment horizontal="left"/>
    </xf>
    <xf numFmtId="3" fontId="57" fillId="3" borderId="60" xfId="2" applyNumberFormat="1" applyFont="1" applyFill="1" applyBorder="1" applyAlignment="1">
      <alignment horizontal="center" vertical="center"/>
    </xf>
    <xf numFmtId="3" fontId="57" fillId="3" borderId="15" xfId="2" applyNumberFormat="1" applyFont="1" applyFill="1" applyBorder="1" applyAlignment="1">
      <alignment horizontal="center" vertical="center"/>
    </xf>
    <xf numFmtId="1" fontId="57" fillId="3" borderId="15" xfId="2" applyNumberFormat="1" applyFont="1" applyFill="1" applyBorder="1" applyAlignment="1">
      <alignment vertical="center"/>
    </xf>
    <xf numFmtId="3" fontId="57" fillId="3" borderId="0" xfId="2" applyNumberFormat="1" applyFont="1" applyFill="1" applyBorder="1" applyAlignment="1">
      <alignment horizontal="center" vertical="center"/>
    </xf>
    <xf numFmtId="3" fontId="57" fillId="3" borderId="9" xfId="2" applyNumberFormat="1" applyFont="1" applyFill="1" applyBorder="1" applyAlignment="1">
      <alignment horizontal="center" vertical="center"/>
    </xf>
    <xf numFmtId="3" fontId="55" fillId="0" borderId="0" xfId="2" applyNumberFormat="1" applyFont="1" applyFill="1" applyBorder="1" applyAlignment="1">
      <alignment vertical="center"/>
    </xf>
    <xf numFmtId="3" fontId="55" fillId="0" borderId="0" xfId="2" applyNumberFormat="1" applyFont="1" applyFill="1" applyAlignment="1">
      <alignment vertical="center"/>
    </xf>
    <xf numFmtId="0" fontId="58" fillId="0" borderId="0" xfId="0" applyFont="1" applyFill="1" applyBorder="1" applyAlignment="1">
      <alignment horizontal="justify" vertical="center" shrinkToFit="1"/>
    </xf>
    <xf numFmtId="3" fontId="58" fillId="0" borderId="0" xfId="0" applyNumberFormat="1" applyFont="1" applyFill="1" applyBorder="1" applyAlignment="1">
      <alignment horizontal="justify" vertical="center" shrinkToFit="1"/>
    </xf>
    <xf numFmtId="0" fontId="11" fillId="0" borderId="0" xfId="0" applyFont="1" applyFill="1" applyBorder="1" applyAlignment="1">
      <alignment vertical="center" shrinkToFit="1"/>
    </xf>
    <xf numFmtId="3" fontId="11" fillId="0" borderId="0" xfId="0" applyNumberFormat="1" applyFont="1" applyFill="1" applyBorder="1" applyAlignment="1">
      <alignment vertical="center" shrinkToFit="1"/>
    </xf>
    <xf numFmtId="3" fontId="14" fillId="0" borderId="0" xfId="0" applyNumberFormat="1" applyFont="1" applyFill="1" applyAlignment="1">
      <alignment vertical="center" shrinkToFit="1"/>
    </xf>
    <xf numFmtId="3" fontId="50" fillId="7" borderId="79" xfId="2" applyNumberFormat="1" applyFont="1" applyFill="1" applyBorder="1" applyAlignment="1">
      <alignment horizontal="center" vertical="center"/>
    </xf>
    <xf numFmtId="3" fontId="9" fillId="7" borderId="82" xfId="2" applyNumberFormat="1" applyFont="1" applyFill="1" applyBorder="1" applyAlignment="1">
      <alignment vertical="center"/>
    </xf>
    <xf numFmtId="3" fontId="50" fillId="7" borderId="82" xfId="2" applyNumberFormat="1" applyFont="1" applyFill="1" applyBorder="1" applyAlignment="1">
      <alignment horizontal="center" vertical="center"/>
    </xf>
    <xf numFmtId="3" fontId="9" fillId="7" borderId="83" xfId="2" applyNumberFormat="1" applyFont="1" applyFill="1" applyBorder="1" applyAlignment="1">
      <alignment vertical="center"/>
    </xf>
    <xf numFmtId="3" fontId="57" fillId="9" borderId="49" xfId="2" applyNumberFormat="1" applyFont="1" applyFill="1" applyBorder="1" applyAlignment="1">
      <alignment horizontal="center" vertical="center"/>
    </xf>
    <xf numFmtId="3" fontId="57" fillId="3" borderId="49" xfId="2" applyNumberFormat="1" applyFont="1" applyFill="1" applyBorder="1" applyAlignment="1">
      <alignment horizontal="center" vertical="center"/>
    </xf>
    <xf numFmtId="3" fontId="60" fillId="3" borderId="49" xfId="2" applyNumberFormat="1" applyFont="1" applyFill="1" applyBorder="1" applyAlignment="1">
      <alignment horizontal="center" vertical="center"/>
    </xf>
    <xf numFmtId="3" fontId="60" fillId="3" borderId="38" xfId="2" applyNumberFormat="1" applyFont="1" applyFill="1" applyBorder="1" applyAlignment="1">
      <alignment horizontal="center" vertical="center"/>
    </xf>
    <xf numFmtId="3" fontId="57" fillId="3" borderId="14" xfId="2" applyNumberFormat="1" applyFont="1" applyFill="1" applyBorder="1" applyAlignment="1">
      <alignment horizontal="center" vertical="center"/>
    </xf>
    <xf numFmtId="3" fontId="57" fillId="3" borderId="5" xfId="2" applyNumberFormat="1" applyFont="1" applyFill="1" applyBorder="1" applyAlignment="1">
      <alignment horizontal="center" vertical="center"/>
    </xf>
    <xf numFmtId="3" fontId="50" fillId="7" borderId="44" xfId="2" applyNumberFormat="1" applyFont="1" applyFill="1" applyBorder="1" applyAlignment="1">
      <alignment horizontal="center" vertical="center"/>
    </xf>
    <xf numFmtId="3" fontId="50" fillId="7" borderId="1" xfId="2" applyNumberFormat="1" applyFont="1" applyFill="1" applyBorder="1" applyAlignment="1">
      <alignment horizontal="center" vertical="center"/>
    </xf>
    <xf numFmtId="3" fontId="50" fillId="7" borderId="68" xfId="2" applyNumberFormat="1" applyFont="1" applyFill="1" applyBorder="1" applyAlignment="1">
      <alignment horizontal="center" vertical="center"/>
    </xf>
    <xf numFmtId="3" fontId="50" fillId="7" borderId="69" xfId="2" applyNumberFormat="1" applyFont="1" applyFill="1" applyBorder="1" applyAlignment="1">
      <alignment horizontal="center" vertical="center"/>
    </xf>
    <xf numFmtId="3" fontId="19" fillId="6" borderId="82" xfId="2" applyNumberFormat="1" applyFont="1" applyFill="1" applyBorder="1" applyAlignment="1">
      <alignment horizontal="right" vertical="center"/>
    </xf>
    <xf numFmtId="4" fontId="19" fillId="6" borderId="51" xfId="2" applyNumberFormat="1" applyFont="1" applyFill="1" applyBorder="1" applyAlignment="1">
      <alignment horizontal="right" vertical="center"/>
    </xf>
    <xf numFmtId="3" fontId="48" fillId="6" borderId="82" xfId="2" applyNumberFormat="1" applyFont="1" applyFill="1" applyBorder="1" applyAlignment="1">
      <alignment horizontal="right" vertical="center"/>
    </xf>
    <xf numFmtId="3" fontId="27" fillId="6" borderId="1" xfId="2" applyNumberFormat="1" applyFont="1" applyFill="1" applyBorder="1" applyAlignment="1">
      <alignment horizontal="center" vertical="center"/>
    </xf>
    <xf numFmtId="3" fontId="27" fillId="6" borderId="0" xfId="2" applyNumberFormat="1" applyFont="1" applyFill="1" applyBorder="1" applyAlignment="1">
      <alignment horizontal="center" vertical="center"/>
    </xf>
    <xf numFmtId="3" fontId="57" fillId="10" borderId="66" xfId="2" applyNumberFormat="1" applyFont="1" applyFill="1" applyBorder="1" applyAlignment="1">
      <alignment horizontal="center" vertical="center"/>
    </xf>
    <xf numFmtId="3" fontId="57" fillId="10" borderId="7" xfId="2" applyNumberFormat="1" applyFont="1" applyFill="1" applyBorder="1" applyAlignment="1">
      <alignment horizontal="center" vertical="center"/>
    </xf>
    <xf numFmtId="3" fontId="57" fillId="10" borderId="62" xfId="2" applyNumberFormat="1" applyFont="1" applyFill="1" applyBorder="1" applyAlignment="1">
      <alignment horizontal="center" vertical="center"/>
    </xf>
    <xf numFmtId="3" fontId="57" fillId="0" borderId="15" xfId="2" applyNumberFormat="1" applyFont="1" applyFill="1" applyBorder="1" applyAlignment="1">
      <alignment vertical="center"/>
    </xf>
    <xf numFmtId="3" fontId="57" fillId="0" borderId="13" xfId="2" applyNumberFormat="1" applyFont="1" applyFill="1" applyBorder="1" applyAlignment="1">
      <alignment horizontal="center" vertical="center"/>
    </xf>
    <xf numFmtId="3" fontId="57" fillId="0" borderId="13" xfId="2" applyNumberFormat="1" applyFont="1" applyFill="1" applyBorder="1" applyAlignment="1">
      <alignment vertical="center"/>
    </xf>
    <xf numFmtId="3" fontId="19" fillId="3" borderId="13" xfId="2" applyNumberFormat="1" applyFont="1" applyFill="1" applyBorder="1" applyAlignment="1">
      <alignment horizontal="right" vertical="center"/>
    </xf>
    <xf numFmtId="3" fontId="57" fillId="10" borderId="15" xfId="2" applyNumberFormat="1" applyFont="1" applyFill="1" applyBorder="1" applyAlignment="1">
      <alignment horizontal="center" vertical="center"/>
    </xf>
    <xf numFmtId="1" fontId="57" fillId="10" borderId="13" xfId="2" applyNumberFormat="1" applyFont="1" applyFill="1" applyBorder="1" applyAlignment="1">
      <alignment vertical="center"/>
    </xf>
    <xf numFmtId="3" fontId="57" fillId="3" borderId="62" xfId="2" applyNumberFormat="1" applyFont="1" applyFill="1" applyBorder="1" applyAlignment="1">
      <alignment horizontal="center" vertical="center"/>
    </xf>
    <xf numFmtId="1" fontId="57" fillId="3" borderId="13" xfId="2" applyNumberFormat="1" applyFont="1" applyFill="1" applyBorder="1" applyAlignment="1">
      <alignment vertical="center"/>
    </xf>
    <xf numFmtId="3" fontId="57" fillId="10" borderId="67" xfId="2" applyNumberFormat="1" applyFont="1" applyFill="1" applyBorder="1" applyAlignment="1">
      <alignment horizontal="center" vertical="center"/>
    </xf>
    <xf numFmtId="3" fontId="57" fillId="10" borderId="75" xfId="2" applyNumberFormat="1" applyFont="1" applyFill="1" applyBorder="1" applyAlignment="1">
      <alignment horizontal="center" vertical="center"/>
    </xf>
    <xf numFmtId="3" fontId="57" fillId="10" borderId="49" xfId="2" applyNumberFormat="1" applyFont="1" applyFill="1" applyBorder="1" applyAlignment="1">
      <alignment horizontal="center" vertical="center"/>
    </xf>
    <xf numFmtId="3" fontId="57" fillId="10" borderId="52" xfId="2" applyNumberFormat="1" applyFont="1" applyFill="1" applyBorder="1" applyAlignment="1">
      <alignment horizontal="center" vertical="center"/>
    </xf>
    <xf numFmtId="3" fontId="57" fillId="3" borderId="57" xfId="2" applyNumberFormat="1" applyFont="1" applyFill="1" applyBorder="1" applyAlignment="1">
      <alignment horizontal="center" vertical="center"/>
    </xf>
    <xf numFmtId="3" fontId="19" fillId="3" borderId="16" xfId="2" applyNumberFormat="1" applyFont="1" applyFill="1" applyBorder="1" applyAlignment="1">
      <alignment horizontal="right" vertical="center"/>
    </xf>
    <xf numFmtId="3" fontId="50" fillId="10" borderId="49" xfId="2" applyNumberFormat="1" applyFont="1" applyFill="1" applyBorder="1" applyAlignment="1">
      <alignment horizontal="center" vertical="center"/>
    </xf>
    <xf numFmtId="3" fontId="50" fillId="10" borderId="52" xfId="2" applyNumberFormat="1" applyFont="1" applyFill="1" applyBorder="1" applyAlignment="1">
      <alignment horizontal="center" vertical="center"/>
    </xf>
    <xf numFmtId="3" fontId="19" fillId="3" borderId="9" xfId="2" applyNumberFormat="1" applyFont="1" applyFill="1" applyBorder="1" applyAlignment="1">
      <alignment vertical="center"/>
    </xf>
    <xf numFmtId="3" fontId="57" fillId="3" borderId="74" xfId="2" applyNumberFormat="1" applyFont="1" applyFill="1" applyBorder="1" applyAlignment="1">
      <alignment horizontal="center" vertical="center"/>
    </xf>
    <xf numFmtId="3" fontId="19" fillId="3" borderId="74" xfId="2" applyNumberFormat="1" applyFont="1" applyFill="1" applyBorder="1" applyAlignment="1">
      <alignment horizontal="left" wrapText="1"/>
    </xf>
    <xf numFmtId="3" fontId="57" fillId="3" borderId="58" xfId="2" applyNumberFormat="1" applyFont="1" applyFill="1" applyBorder="1" applyAlignment="1">
      <alignment horizontal="center" vertical="center"/>
    </xf>
    <xf numFmtId="3" fontId="57" fillId="3" borderId="40" xfId="2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shrinkToFit="1"/>
    </xf>
    <xf numFmtId="49" fontId="11" fillId="0" borderId="0" xfId="0" applyNumberFormat="1" applyFont="1" applyFill="1" applyAlignment="1">
      <alignment vertical="center" shrinkToFit="1"/>
    </xf>
    <xf numFmtId="3" fontId="27" fillId="6" borderId="68" xfId="2" applyNumberFormat="1" applyFont="1" applyFill="1" applyBorder="1" applyAlignment="1">
      <alignment horizontal="center" vertical="center"/>
    </xf>
    <xf numFmtId="3" fontId="27" fillId="6" borderId="69" xfId="2" applyNumberFormat="1" applyFont="1" applyFill="1" applyBorder="1" applyAlignment="1">
      <alignment horizontal="center" vertical="center"/>
    </xf>
    <xf numFmtId="3" fontId="53" fillId="7" borderId="88" xfId="2" applyNumberFormat="1" applyFont="1" applyFill="1" applyBorder="1" applyAlignment="1">
      <alignment horizontal="center" vertical="center"/>
    </xf>
    <xf numFmtId="3" fontId="19" fillId="7" borderId="35" xfId="2" applyNumberFormat="1" applyFont="1" applyFill="1" applyBorder="1" applyAlignment="1">
      <alignment horizontal="center" vertical="center"/>
    </xf>
    <xf numFmtId="3" fontId="19" fillId="7" borderId="82" xfId="2" quotePrefix="1" applyNumberFormat="1" applyFont="1" applyFill="1" applyBorder="1" applyAlignment="1">
      <alignment horizontal="center" vertical="center"/>
    </xf>
    <xf numFmtId="3" fontId="48" fillId="7" borderId="46" xfId="2" quotePrefix="1" applyNumberFormat="1" applyFont="1" applyFill="1" applyBorder="1" applyAlignment="1">
      <alignment horizontal="center" vertical="center"/>
    </xf>
    <xf numFmtId="3" fontId="48" fillId="7" borderId="9" xfId="2" quotePrefix="1" applyNumberFormat="1" applyFont="1" applyFill="1" applyBorder="1" applyAlignment="1">
      <alignment horizontal="center" vertical="center"/>
    </xf>
    <xf numFmtId="3" fontId="54" fillId="7" borderId="79" xfId="2" applyNumberFormat="1" applyFont="1" applyFill="1" applyBorder="1" applyAlignment="1">
      <alignment horizontal="center" vertical="center"/>
    </xf>
    <xf numFmtId="3" fontId="9" fillId="7" borderId="0" xfId="2" applyNumberFormat="1" applyFont="1" applyFill="1" applyBorder="1" applyAlignment="1">
      <alignment vertical="center"/>
    </xf>
    <xf numFmtId="3" fontId="48" fillId="7" borderId="45" xfId="2" quotePrefix="1" applyNumberFormat="1" applyFont="1" applyFill="1" applyBorder="1" applyAlignment="1">
      <alignment horizontal="center" vertical="center"/>
    </xf>
    <xf numFmtId="3" fontId="48" fillId="7" borderId="82" xfId="2" quotePrefix="1" applyNumberFormat="1" applyFont="1" applyFill="1" applyBorder="1" applyAlignment="1">
      <alignment horizontal="center" vertical="center"/>
    </xf>
    <xf numFmtId="4" fontId="19" fillId="7" borderId="82" xfId="2" applyNumberFormat="1" applyFont="1" applyFill="1" applyBorder="1" applyAlignment="1">
      <alignment horizontal="right" vertical="center"/>
    </xf>
    <xf numFmtId="3" fontId="53" fillId="3" borderId="4" xfId="2" applyNumberFormat="1" applyFont="1" applyFill="1" applyBorder="1" applyAlignment="1">
      <alignment horizontal="center" vertical="center"/>
    </xf>
    <xf numFmtId="3" fontId="53" fillId="3" borderId="18" xfId="2" applyNumberFormat="1" applyFont="1" applyFill="1" applyBorder="1" applyAlignment="1">
      <alignment horizontal="center" vertical="center"/>
    </xf>
    <xf numFmtId="3" fontId="17" fillId="3" borderId="16" xfId="2" applyNumberFormat="1" applyFont="1" applyFill="1" applyBorder="1" applyAlignment="1">
      <alignment horizontal="left" vertical="center" indent="1"/>
    </xf>
    <xf numFmtId="3" fontId="19" fillId="3" borderId="16" xfId="2" applyNumberFormat="1" applyFont="1" applyFill="1" applyBorder="1" applyAlignment="1">
      <alignment horizontal="center" vertical="center"/>
    </xf>
    <xf numFmtId="3" fontId="48" fillId="3" borderId="9" xfId="2" quotePrefix="1" applyNumberFormat="1" applyFont="1" applyFill="1" applyBorder="1" applyAlignment="1">
      <alignment horizontal="center" vertical="center"/>
    </xf>
    <xf numFmtId="3" fontId="48" fillId="3" borderId="15" xfId="2" quotePrefix="1" applyNumberFormat="1" applyFont="1" applyFill="1" applyBorder="1" applyAlignment="1">
      <alignment horizontal="center" vertical="center"/>
    </xf>
    <xf numFmtId="3" fontId="17" fillId="3" borderId="15" xfId="2" applyNumberFormat="1" applyFont="1" applyFill="1" applyBorder="1" applyAlignment="1">
      <alignment horizontal="center" vertical="center" wrapText="1"/>
    </xf>
    <xf numFmtId="3" fontId="17" fillId="3" borderId="15" xfId="2" applyNumberFormat="1" applyFont="1" applyFill="1" applyBorder="1" applyAlignment="1">
      <alignment horizontal="center" vertical="center"/>
    </xf>
    <xf numFmtId="3" fontId="17" fillId="3" borderId="9" xfId="2" applyNumberFormat="1" applyFont="1" applyFill="1" applyBorder="1" applyAlignment="1">
      <alignment horizontal="center" vertical="center"/>
    </xf>
    <xf numFmtId="3" fontId="53" fillId="3" borderId="40" xfId="2" applyNumberFormat="1" applyFont="1" applyFill="1" applyBorder="1" applyAlignment="1">
      <alignment horizontal="center" vertical="center"/>
    </xf>
    <xf numFmtId="3" fontId="53" fillId="3" borderId="16" xfId="2" applyNumberFormat="1" applyFont="1" applyFill="1" applyBorder="1" applyAlignment="1">
      <alignment horizontal="center" vertical="center"/>
    </xf>
    <xf numFmtId="3" fontId="9" fillId="3" borderId="15" xfId="2" applyNumberFormat="1" applyFont="1" applyFill="1" applyBorder="1" applyAlignment="1">
      <alignment horizontal="left" vertical="center" wrapText="1"/>
    </xf>
    <xf numFmtId="3" fontId="53" fillId="7" borderId="1" xfId="2" applyNumberFormat="1" applyFont="1" applyFill="1" applyBorder="1" applyAlignment="1">
      <alignment horizontal="center" vertical="center"/>
    </xf>
    <xf numFmtId="3" fontId="53" fillId="7" borderId="6" xfId="2" applyNumberFormat="1" applyFont="1" applyFill="1" applyBorder="1" applyAlignment="1">
      <alignment horizontal="center" vertical="center"/>
    </xf>
    <xf numFmtId="3" fontId="52" fillId="3" borderId="15" xfId="0" applyNumberFormat="1" applyFont="1" applyFill="1" applyBorder="1" applyAlignment="1">
      <alignment horizontal="center" vertical="center" wrapText="1"/>
    </xf>
    <xf numFmtId="3" fontId="48" fillId="3" borderId="13" xfId="2" applyNumberFormat="1" applyFont="1" applyFill="1" applyBorder="1" applyAlignment="1">
      <alignment horizontal="center" vertical="center" wrapText="1"/>
    </xf>
    <xf numFmtId="3" fontId="17" fillId="11" borderId="13" xfId="2" applyNumberFormat="1" applyFont="1" applyFill="1" applyBorder="1" applyAlignment="1">
      <alignment vertical="center"/>
    </xf>
    <xf numFmtId="3" fontId="19" fillId="11" borderId="15" xfId="2" applyNumberFormat="1" applyFont="1" applyFill="1" applyBorder="1" applyAlignment="1">
      <alignment horizontal="right" vertical="center"/>
    </xf>
    <xf numFmtId="3" fontId="17" fillId="11" borderId="13" xfId="2" applyNumberFormat="1" applyFont="1" applyFill="1" applyBorder="1" applyAlignment="1">
      <alignment horizontal="right" vertical="center"/>
    </xf>
    <xf numFmtId="3" fontId="19" fillId="11" borderId="13" xfId="2" applyNumberFormat="1" applyFont="1" applyFill="1" applyBorder="1" applyAlignment="1">
      <alignment vertical="center"/>
    </xf>
    <xf numFmtId="4" fontId="19" fillId="11" borderId="50" xfId="2" applyNumberFormat="1" applyFont="1" applyFill="1" applyBorder="1" applyAlignment="1">
      <alignment horizontal="right" vertical="center"/>
    </xf>
    <xf numFmtId="3" fontId="48" fillId="3" borderId="46" xfId="2" quotePrefix="1" applyNumberFormat="1" applyFont="1" applyFill="1" applyBorder="1" applyAlignment="1">
      <alignment horizontal="center" vertical="center"/>
    </xf>
    <xf numFmtId="3" fontId="48" fillId="3" borderId="15" xfId="2" applyNumberFormat="1" applyFont="1" applyFill="1" applyBorder="1" applyAlignment="1">
      <alignment horizontal="left" vertical="center" indent="2"/>
    </xf>
    <xf numFmtId="3" fontId="48" fillId="0" borderId="5" xfId="2" applyNumberFormat="1" applyFont="1" applyFill="1" applyBorder="1" applyAlignment="1">
      <alignment vertical="center"/>
    </xf>
    <xf numFmtId="3" fontId="48" fillId="3" borderId="5" xfId="2" applyNumberFormat="1" applyFont="1" applyFill="1" applyBorder="1" applyAlignment="1">
      <alignment horizontal="right" vertical="center"/>
    </xf>
    <xf numFmtId="3" fontId="48" fillId="3" borderId="5" xfId="2" applyNumberFormat="1" applyFont="1" applyFill="1" applyBorder="1" applyAlignment="1">
      <alignment vertical="center"/>
    </xf>
    <xf numFmtId="4" fontId="51" fillId="3" borderId="21" xfId="2" applyNumberFormat="1" applyFont="1" applyFill="1" applyBorder="1" applyAlignment="1">
      <alignment horizontal="right" vertical="center"/>
    </xf>
    <xf numFmtId="3" fontId="50" fillId="7" borderId="0" xfId="2" applyNumberFormat="1" applyFont="1" applyFill="1" applyBorder="1" applyAlignment="1">
      <alignment horizontal="center" vertical="center"/>
    </xf>
    <xf numFmtId="3" fontId="19" fillId="7" borderId="69" xfId="2" applyNumberFormat="1" applyFont="1" applyFill="1" applyBorder="1" applyAlignment="1">
      <alignment horizontal="right" vertical="center"/>
    </xf>
    <xf numFmtId="3" fontId="50" fillId="6" borderId="69" xfId="2" applyNumberFormat="1" applyFont="1" applyFill="1" applyBorder="1" applyAlignment="1">
      <alignment vertical="center"/>
    </xf>
    <xf numFmtId="3" fontId="27" fillId="6" borderId="51" xfId="2" applyNumberFormat="1" applyFont="1" applyFill="1" applyBorder="1" applyAlignment="1">
      <alignment vertical="center"/>
    </xf>
    <xf numFmtId="3" fontId="57" fillId="10" borderId="6" xfId="2" applyNumberFormat="1" applyFont="1" applyFill="1" applyBorder="1" applyAlignment="1">
      <alignment horizontal="center" vertical="center"/>
    </xf>
    <xf numFmtId="3" fontId="48" fillId="3" borderId="13" xfId="2" quotePrefix="1" applyNumberFormat="1" applyFont="1" applyFill="1" applyBorder="1" applyAlignment="1">
      <alignment horizontal="center" vertical="center"/>
    </xf>
    <xf numFmtId="1" fontId="57" fillId="3" borderId="52" xfId="2" applyNumberFormat="1" applyFont="1" applyFill="1" applyBorder="1" applyAlignment="1">
      <alignment vertical="center"/>
    </xf>
    <xf numFmtId="3" fontId="50" fillId="10" borderId="32" xfId="2" applyNumberFormat="1" applyFont="1" applyFill="1" applyBorder="1" applyAlignment="1">
      <alignment horizontal="center" vertical="center"/>
    </xf>
    <xf numFmtId="3" fontId="57" fillId="3" borderId="38" xfId="2" applyNumberFormat="1" applyFont="1" applyFill="1" applyBorder="1" applyAlignment="1">
      <alignment horizontal="center" vertical="center"/>
    </xf>
    <xf numFmtId="3" fontId="57" fillId="3" borderId="30" xfId="2" applyNumberFormat="1" applyFont="1" applyFill="1" applyBorder="1" applyAlignment="1">
      <alignment horizontal="center" vertical="center"/>
    </xf>
    <xf numFmtId="1" fontId="56" fillId="3" borderId="0" xfId="2" applyNumberFormat="1" applyFont="1" applyFill="1" applyAlignment="1">
      <alignment horizontal="right" vertical="center"/>
    </xf>
    <xf numFmtId="3" fontId="64" fillId="3" borderId="0" xfId="2" applyNumberFormat="1" applyFont="1" applyFill="1" applyAlignment="1">
      <alignment vertical="center"/>
    </xf>
    <xf numFmtId="3" fontId="65" fillId="3" borderId="0" xfId="2" applyNumberFormat="1" applyFont="1" applyFill="1" applyBorder="1" applyAlignment="1">
      <alignment vertical="center"/>
    </xf>
    <xf numFmtId="3" fontId="64" fillId="3" borderId="0" xfId="2" applyNumberFormat="1" applyFont="1" applyFill="1" applyBorder="1" applyAlignment="1">
      <alignment vertical="center"/>
    </xf>
    <xf numFmtId="3" fontId="65" fillId="3" borderId="18" xfId="2" applyNumberFormat="1" applyFont="1" applyFill="1" applyBorder="1" applyAlignment="1">
      <alignment horizontal="right" vertical="center"/>
    </xf>
    <xf numFmtId="3" fontId="64" fillId="0" borderId="0" xfId="2" applyNumberFormat="1" applyFont="1" applyFill="1" applyAlignment="1">
      <alignment vertical="center"/>
    </xf>
    <xf numFmtId="1" fontId="56" fillId="0" borderId="0" xfId="2" applyNumberFormat="1" applyFont="1" applyFill="1" applyAlignment="1">
      <alignment horizontal="right" vertical="center"/>
    </xf>
    <xf numFmtId="3" fontId="65" fillId="0" borderId="0" xfId="2" applyNumberFormat="1" applyFont="1" applyFill="1" applyAlignment="1">
      <alignment vertical="center"/>
    </xf>
    <xf numFmtId="3" fontId="63" fillId="0" borderId="0" xfId="2" applyNumberFormat="1" applyFont="1" applyFill="1" applyAlignment="1">
      <alignment vertical="center"/>
    </xf>
    <xf numFmtId="3" fontId="67" fillId="0" borderId="0" xfId="2" applyNumberFormat="1" applyFont="1" applyFill="1" applyAlignment="1">
      <alignment vertical="center"/>
    </xf>
    <xf numFmtId="3" fontId="57" fillId="3" borderId="16" xfId="2" applyNumberFormat="1" applyFont="1" applyFill="1" applyBorder="1" applyAlignment="1">
      <alignment horizontal="center" vertical="center"/>
    </xf>
    <xf numFmtId="1" fontId="57" fillId="3" borderId="0" xfId="2" applyNumberFormat="1" applyFont="1" applyFill="1" applyBorder="1" applyAlignment="1">
      <alignment vertical="center"/>
    </xf>
    <xf numFmtId="3" fontId="51" fillId="3" borderId="13" xfId="2" applyNumberFormat="1" applyFont="1" applyFill="1" applyBorder="1" applyAlignment="1">
      <alignment horizontal="left" vertical="center"/>
    </xf>
    <xf numFmtId="3" fontId="17" fillId="3" borderId="13" xfId="2" applyNumberFormat="1" applyFont="1" applyFill="1" applyBorder="1" applyAlignment="1">
      <alignment horizontal="center" vertical="center"/>
    </xf>
    <xf numFmtId="3" fontId="17" fillId="3" borderId="13" xfId="2" applyNumberFormat="1" applyFont="1" applyFill="1" applyBorder="1" applyAlignment="1">
      <alignment horizontal="center" vertical="center" wrapText="1"/>
    </xf>
    <xf numFmtId="3" fontId="8" fillId="9" borderId="52" xfId="2" applyNumberFormat="1" applyFont="1" applyFill="1" applyBorder="1" applyAlignment="1">
      <alignment vertical="center"/>
    </xf>
    <xf numFmtId="3" fontId="8" fillId="3" borderId="52" xfId="2" applyNumberFormat="1" applyFont="1" applyFill="1" applyBorder="1" applyAlignment="1">
      <alignment vertical="center"/>
    </xf>
    <xf numFmtId="3" fontId="57" fillId="3" borderId="52" xfId="2" applyNumberFormat="1" applyFont="1" applyFill="1" applyBorder="1" applyAlignment="1">
      <alignment horizontal="center" vertical="center"/>
    </xf>
    <xf numFmtId="3" fontId="57" fillId="3" borderId="91" xfId="2" applyNumberFormat="1" applyFont="1" applyFill="1" applyBorder="1" applyAlignment="1">
      <alignment horizontal="center" vertical="center"/>
    </xf>
    <xf numFmtId="3" fontId="57" fillId="3" borderId="89" xfId="2" applyNumberFormat="1" applyFont="1" applyFill="1" applyBorder="1" applyAlignment="1">
      <alignment horizontal="center" vertical="center"/>
    </xf>
    <xf numFmtId="3" fontId="8" fillId="11" borderId="15" xfId="2" applyNumberFormat="1" applyFont="1" applyFill="1" applyBorder="1" applyAlignment="1">
      <alignment vertical="center"/>
    </xf>
    <xf numFmtId="3" fontId="48" fillId="11" borderId="15" xfId="2" quotePrefix="1" applyNumberFormat="1" applyFont="1" applyFill="1" applyBorder="1" applyAlignment="1">
      <alignment horizontal="center" vertical="center"/>
    </xf>
    <xf numFmtId="3" fontId="48" fillId="0" borderId="15" xfId="2" applyNumberFormat="1" applyFont="1" applyFill="1" applyBorder="1" applyAlignment="1">
      <alignment vertical="center"/>
    </xf>
    <xf numFmtId="3" fontId="48" fillId="3" borderId="15" xfId="2" applyNumberFormat="1" applyFont="1" applyFill="1" applyBorder="1" applyAlignment="1">
      <alignment horizontal="right" vertical="center"/>
    </xf>
    <xf numFmtId="3" fontId="48" fillId="3" borderId="15" xfId="2" applyNumberFormat="1" applyFont="1" applyFill="1" applyBorder="1" applyAlignment="1">
      <alignment vertical="center"/>
    </xf>
    <xf numFmtId="3" fontId="19" fillId="11" borderId="15" xfId="2" applyNumberFormat="1" applyFont="1" applyFill="1" applyBorder="1" applyAlignment="1">
      <alignment vertical="center"/>
    </xf>
    <xf numFmtId="3" fontId="51" fillId="11" borderId="15" xfId="2" quotePrefix="1" applyNumberFormat="1" applyFont="1" applyFill="1" applyBorder="1" applyAlignment="1">
      <alignment horizontal="center" vertical="center"/>
    </xf>
    <xf numFmtId="3" fontId="8" fillId="9" borderId="15" xfId="2" applyNumberFormat="1" applyFont="1" applyFill="1" applyBorder="1" applyAlignment="1">
      <alignment vertical="center"/>
    </xf>
    <xf numFmtId="1" fontId="27" fillId="3" borderId="15" xfId="2" applyNumberFormat="1" applyFont="1" applyFill="1" applyBorder="1" applyAlignment="1">
      <alignment horizontal="right" vertical="center"/>
    </xf>
    <xf numFmtId="3" fontId="61" fillId="0" borderId="0" xfId="2" applyNumberFormat="1" applyFont="1" applyFill="1" applyBorder="1" applyAlignment="1">
      <alignment horizontal="right" vertical="center"/>
    </xf>
    <xf numFmtId="4" fontId="51" fillId="3" borderId="53" xfId="2" applyNumberFormat="1" applyFont="1" applyFill="1" applyBorder="1" applyAlignment="1">
      <alignment horizontal="right" vertical="center"/>
    </xf>
    <xf numFmtId="3" fontId="48" fillId="3" borderId="90" xfId="2" quotePrefix="1" applyNumberFormat="1" applyFont="1" applyFill="1" applyBorder="1" applyAlignment="1">
      <alignment horizontal="center" vertical="center"/>
    </xf>
    <xf numFmtId="3" fontId="48" fillId="3" borderId="30" xfId="2" quotePrefix="1" applyNumberFormat="1" applyFont="1" applyFill="1" applyBorder="1" applyAlignment="1">
      <alignment horizontal="center" vertical="center"/>
    </xf>
    <xf numFmtId="3" fontId="50" fillId="7" borderId="90" xfId="2" applyNumberFormat="1" applyFont="1" applyFill="1" applyBorder="1" applyAlignment="1">
      <alignment horizontal="center" vertical="center"/>
    </xf>
    <xf numFmtId="3" fontId="48" fillId="7" borderId="5" xfId="2" applyNumberFormat="1" applyFont="1" applyFill="1" applyBorder="1" applyAlignment="1">
      <alignment vertical="center"/>
    </xf>
    <xf numFmtId="3" fontId="48" fillId="7" borderId="5" xfId="2" applyNumberFormat="1" applyFont="1" applyFill="1" applyBorder="1" applyAlignment="1">
      <alignment horizontal="right" vertical="center"/>
    </xf>
    <xf numFmtId="3" fontId="48" fillId="7" borderId="82" xfId="2" applyNumberFormat="1" applyFont="1" applyFill="1" applyBorder="1" applyAlignment="1">
      <alignment horizontal="right" vertical="center"/>
    </xf>
    <xf numFmtId="3" fontId="48" fillId="7" borderId="51" xfId="2" applyNumberFormat="1" applyFont="1" applyFill="1" applyBorder="1" applyAlignment="1">
      <alignment horizontal="right" vertical="center"/>
    </xf>
    <xf numFmtId="3" fontId="48" fillId="7" borderId="18" xfId="2" applyNumberFormat="1" applyFont="1" applyFill="1" applyBorder="1" applyAlignment="1">
      <alignment horizontal="right" vertical="center"/>
    </xf>
    <xf numFmtId="3" fontId="51" fillId="7" borderId="82" xfId="2" applyNumberFormat="1" applyFont="1" applyFill="1" applyBorder="1" applyAlignment="1">
      <alignment vertical="center"/>
    </xf>
    <xf numFmtId="4" fontId="51" fillId="7" borderId="36" xfId="2" applyNumberFormat="1" applyFont="1" applyFill="1" applyBorder="1" applyAlignment="1">
      <alignment horizontal="right" vertical="center"/>
    </xf>
    <xf numFmtId="3" fontId="48" fillId="7" borderId="83" xfId="2" applyNumberFormat="1" applyFont="1" applyFill="1" applyBorder="1" applyAlignment="1">
      <alignment horizontal="right" vertical="center"/>
    </xf>
    <xf numFmtId="3" fontId="48" fillId="7" borderId="36" xfId="2" applyNumberFormat="1" applyFont="1" applyFill="1" applyBorder="1" applyAlignment="1">
      <alignment horizontal="right" vertical="center"/>
    </xf>
    <xf numFmtId="3" fontId="51" fillId="7" borderId="83" xfId="2" applyNumberFormat="1" applyFont="1" applyFill="1" applyBorder="1" applyAlignment="1">
      <alignment vertical="center"/>
    </xf>
    <xf numFmtId="3" fontId="48" fillId="7" borderId="51" xfId="2" quotePrefix="1" applyNumberFormat="1" applyFont="1" applyFill="1" applyBorder="1" applyAlignment="1">
      <alignment horizontal="center" vertical="center"/>
    </xf>
    <xf numFmtId="3" fontId="19" fillId="7" borderId="51" xfId="2" applyNumberFormat="1" applyFont="1" applyFill="1" applyBorder="1" applyAlignment="1">
      <alignment horizontal="right" vertical="center"/>
    </xf>
    <xf numFmtId="3" fontId="19" fillId="7" borderId="88" xfId="2" applyNumberFormat="1" applyFont="1" applyFill="1" applyBorder="1" applyAlignment="1">
      <alignment horizontal="right" vertical="center"/>
    </xf>
    <xf numFmtId="3" fontId="19" fillId="7" borderId="39" xfId="2" applyNumberFormat="1" applyFont="1" applyFill="1" applyBorder="1" applyAlignment="1">
      <alignment horizontal="right" vertical="center"/>
    </xf>
    <xf numFmtId="4" fontId="19" fillId="7" borderId="82" xfId="2" applyNumberFormat="1" applyFont="1" applyFill="1" applyBorder="1" applyAlignment="1">
      <alignment horizontal="center" vertical="center"/>
    </xf>
    <xf numFmtId="3" fontId="19" fillId="7" borderId="83" xfId="2" applyNumberFormat="1" applyFont="1" applyFill="1" applyBorder="1" applyAlignment="1">
      <alignment horizontal="right" vertical="center"/>
    </xf>
    <xf numFmtId="3" fontId="19" fillId="7" borderId="45" xfId="2" applyNumberFormat="1" applyFont="1" applyFill="1" applyBorder="1" applyAlignment="1">
      <alignment horizontal="right" vertical="center"/>
    </xf>
    <xf numFmtId="3" fontId="19" fillId="7" borderId="47" xfId="2" applyNumberFormat="1" applyFont="1" applyFill="1" applyBorder="1" applyAlignment="1">
      <alignment horizontal="right" vertical="center"/>
    </xf>
    <xf numFmtId="3" fontId="19" fillId="6" borderId="69" xfId="2" applyNumberFormat="1" applyFont="1" applyFill="1" applyBorder="1" applyAlignment="1">
      <alignment horizontal="right" vertical="center"/>
    </xf>
    <xf numFmtId="3" fontId="19" fillId="6" borderId="22" xfId="2" applyNumberFormat="1" applyFont="1" applyFill="1" applyBorder="1" applyAlignment="1">
      <alignment horizontal="right" vertical="center"/>
    </xf>
    <xf numFmtId="3" fontId="19" fillId="6" borderId="69" xfId="2" applyNumberFormat="1" applyFont="1" applyFill="1" applyBorder="1" applyAlignment="1">
      <alignment vertical="center"/>
    </xf>
    <xf numFmtId="1" fontId="10" fillId="6" borderId="82" xfId="2" applyNumberFormat="1" applyFont="1" applyFill="1" applyBorder="1" applyAlignment="1">
      <alignment horizontal="right" vertical="center"/>
    </xf>
    <xf numFmtId="3" fontId="48" fillId="6" borderId="82" xfId="2" quotePrefix="1" applyNumberFormat="1" applyFont="1" applyFill="1" applyBorder="1" applyAlignment="1">
      <alignment horizontal="center" vertical="center"/>
    </xf>
    <xf numFmtId="3" fontId="19" fillId="6" borderId="82" xfId="2" applyNumberFormat="1" applyFont="1" applyFill="1" applyBorder="1" applyAlignment="1">
      <alignment vertical="center"/>
    </xf>
    <xf numFmtId="4" fontId="19" fillId="6" borderId="82" xfId="2" applyNumberFormat="1" applyFont="1" applyFill="1" applyBorder="1" applyAlignment="1">
      <alignment horizontal="right" vertical="center"/>
    </xf>
    <xf numFmtId="3" fontId="50" fillId="6" borderId="82" xfId="2" applyNumberFormat="1" applyFont="1" applyFill="1" applyBorder="1" applyAlignment="1">
      <alignment horizontal="center" vertical="center"/>
    </xf>
    <xf numFmtId="3" fontId="27" fillId="6" borderId="82" xfId="2" applyNumberFormat="1" applyFont="1" applyFill="1" applyBorder="1" applyAlignment="1">
      <alignment vertical="center"/>
    </xf>
    <xf numFmtId="3" fontId="27" fillId="6" borderId="82" xfId="2" applyNumberFormat="1" applyFont="1" applyFill="1" applyBorder="1" applyAlignment="1">
      <alignment horizontal="center" vertical="center"/>
    </xf>
    <xf numFmtId="3" fontId="48" fillId="6" borderId="82" xfId="2" quotePrefix="1" applyNumberFormat="1" applyFont="1" applyFill="1" applyBorder="1" applyAlignment="1">
      <alignment horizontal="left" vertical="center"/>
    </xf>
    <xf numFmtId="3" fontId="57" fillId="10" borderId="78" xfId="2" applyNumberFormat="1" applyFont="1" applyFill="1" applyBorder="1" applyAlignment="1">
      <alignment vertical="center"/>
    </xf>
    <xf numFmtId="3" fontId="57" fillId="10" borderId="30" xfId="2" applyNumberFormat="1" applyFont="1" applyFill="1" applyBorder="1" applyAlignment="1">
      <alignment vertical="center"/>
    </xf>
    <xf numFmtId="3" fontId="57" fillId="10" borderId="58" xfId="2" applyNumberFormat="1" applyFont="1" applyFill="1" applyBorder="1" applyAlignment="1">
      <alignment vertical="center"/>
    </xf>
    <xf numFmtId="3" fontId="48" fillId="7" borderId="35" xfId="2" applyNumberFormat="1" applyFont="1" applyFill="1" applyBorder="1" applyAlignment="1">
      <alignment vertical="center"/>
    </xf>
    <xf numFmtId="3" fontId="19" fillId="7" borderId="82" xfId="2" applyNumberFormat="1" applyFont="1" applyFill="1" applyBorder="1" applyAlignment="1">
      <alignment horizontal="left" vertical="center" indent="1"/>
    </xf>
    <xf numFmtId="3" fontId="48" fillId="7" borderId="47" xfId="2" applyNumberFormat="1" applyFont="1" applyFill="1" applyBorder="1" applyAlignment="1">
      <alignment vertical="center"/>
    </xf>
    <xf numFmtId="3" fontId="48" fillId="7" borderId="21" xfId="2" applyNumberFormat="1" applyFont="1" applyFill="1" applyBorder="1" applyAlignment="1">
      <alignment vertical="center"/>
    </xf>
    <xf numFmtId="3" fontId="48" fillId="7" borderId="82" xfId="2" applyNumberFormat="1" applyFont="1" applyFill="1" applyBorder="1" applyAlignment="1">
      <alignment vertical="center"/>
    </xf>
    <xf numFmtId="3" fontId="48" fillId="7" borderId="83" xfId="2" applyNumberFormat="1" applyFont="1" applyFill="1" applyBorder="1" applyAlignment="1">
      <alignment vertical="center"/>
    </xf>
    <xf numFmtId="3" fontId="48" fillId="7" borderId="18" xfId="2" applyNumberFormat="1" applyFont="1" applyFill="1" applyBorder="1" applyAlignment="1">
      <alignment vertical="center"/>
    </xf>
    <xf numFmtId="3" fontId="19" fillId="7" borderId="68" xfId="2" applyNumberFormat="1" applyFont="1" applyFill="1" applyBorder="1" applyAlignment="1">
      <alignment horizontal="right" vertical="center"/>
    </xf>
    <xf numFmtId="3" fontId="19" fillId="7" borderId="36" xfId="2" applyNumberFormat="1" applyFont="1" applyFill="1" applyBorder="1" applyAlignment="1">
      <alignment horizontal="right" vertical="center"/>
    </xf>
    <xf numFmtId="3" fontId="48" fillId="3" borderId="16" xfId="2" quotePrefix="1" applyNumberFormat="1" applyFont="1" applyFill="1" applyBorder="1" applyAlignment="1">
      <alignment horizontal="center" vertical="center"/>
    </xf>
    <xf numFmtId="3" fontId="19" fillId="7" borderId="44" xfId="2" applyNumberFormat="1" applyFont="1" applyFill="1" applyBorder="1" applyAlignment="1">
      <alignment horizontal="left" vertical="center"/>
    </xf>
    <xf numFmtId="3" fontId="19" fillId="7" borderId="38" xfId="2" quotePrefix="1" applyNumberFormat="1" applyFont="1" applyFill="1" applyBorder="1" applyAlignment="1">
      <alignment horizontal="center" vertical="center"/>
    </xf>
    <xf numFmtId="3" fontId="51" fillId="7" borderId="44" xfId="2" applyNumberFormat="1" applyFont="1" applyFill="1" applyBorder="1" applyAlignment="1">
      <alignment horizontal="left" vertical="center" indent="2"/>
    </xf>
    <xf numFmtId="3" fontId="48" fillId="7" borderId="44" xfId="2" quotePrefix="1" applyNumberFormat="1" applyFont="1" applyFill="1" applyBorder="1" applyAlignment="1">
      <alignment horizontal="center" vertical="center"/>
    </xf>
    <xf numFmtId="3" fontId="48" fillId="7" borderId="38" xfId="2" quotePrefix="1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center"/>
    </xf>
    <xf numFmtId="3" fontId="17" fillId="3" borderId="40" xfId="2" applyNumberFormat="1" applyFont="1" applyFill="1" applyBorder="1" applyAlignment="1">
      <alignment horizontal="center" vertical="center"/>
    </xf>
    <xf numFmtId="3" fontId="17" fillId="3" borderId="1" xfId="2" applyNumberFormat="1" applyFont="1" applyFill="1" applyBorder="1" applyAlignment="1">
      <alignment horizontal="center" vertical="center"/>
    </xf>
    <xf numFmtId="3" fontId="17" fillId="3" borderId="0" xfId="2" applyNumberFormat="1" applyFont="1" applyFill="1" applyBorder="1" applyAlignment="1">
      <alignment horizontal="center" vertical="center"/>
    </xf>
    <xf numFmtId="3" fontId="48" fillId="3" borderId="0" xfId="2" quotePrefix="1" applyNumberFormat="1" applyFont="1" applyFill="1" applyBorder="1" applyAlignment="1">
      <alignment horizontal="center" vertical="center"/>
    </xf>
    <xf numFmtId="49" fontId="9" fillId="3" borderId="0" xfId="2" applyNumberFormat="1" applyFont="1" applyFill="1" applyBorder="1" applyAlignment="1">
      <alignment horizontal="center" vertical="center"/>
    </xf>
    <xf numFmtId="49" fontId="9" fillId="3" borderId="15" xfId="2" applyNumberFormat="1" applyFont="1" applyFill="1" applyBorder="1" applyAlignment="1">
      <alignment vertical="center"/>
    </xf>
    <xf numFmtId="49" fontId="9" fillId="3" borderId="13" xfId="2" applyNumberFormat="1" applyFont="1" applyFill="1" applyBorder="1" applyAlignment="1">
      <alignment vertical="center"/>
    </xf>
    <xf numFmtId="3" fontId="19" fillId="9" borderId="10" xfId="2" applyNumberFormat="1" applyFont="1" applyFill="1" applyBorder="1" applyAlignment="1">
      <alignment vertical="center"/>
    </xf>
    <xf numFmtId="3" fontId="19" fillId="11" borderId="12" xfId="2" applyNumberFormat="1" applyFont="1" applyFill="1" applyBorder="1" applyAlignment="1">
      <alignment vertical="center"/>
    </xf>
    <xf numFmtId="3" fontId="19" fillId="11" borderId="12" xfId="2" applyNumberFormat="1" applyFont="1" applyFill="1" applyBorder="1" applyAlignment="1">
      <alignment horizontal="right" vertical="center"/>
    </xf>
    <xf numFmtId="3" fontId="51" fillId="11" borderId="14" xfId="2" quotePrefix="1" applyNumberFormat="1" applyFont="1" applyFill="1" applyBorder="1" applyAlignment="1">
      <alignment horizontal="center" vertical="center"/>
    </xf>
    <xf numFmtId="3" fontId="19" fillId="11" borderId="14" xfId="2" applyNumberFormat="1" applyFont="1" applyFill="1" applyBorder="1" applyAlignment="1">
      <alignment vertical="center"/>
    </xf>
    <xf numFmtId="3" fontId="19" fillId="11" borderId="14" xfId="2" applyNumberFormat="1" applyFont="1" applyFill="1" applyBorder="1" applyAlignment="1">
      <alignment horizontal="right" vertical="center"/>
    </xf>
    <xf numFmtId="1" fontId="9" fillId="7" borderId="0" xfId="2" applyNumberFormat="1" applyFont="1" applyFill="1" applyBorder="1" applyAlignment="1">
      <alignment horizontal="right" vertical="center"/>
    </xf>
    <xf numFmtId="1" fontId="10" fillId="7" borderId="0" xfId="2" applyNumberFormat="1" applyFont="1" applyFill="1" applyBorder="1" applyAlignment="1">
      <alignment horizontal="right" vertical="center"/>
    </xf>
    <xf numFmtId="49" fontId="13" fillId="3" borderId="0" xfId="2" applyNumberFormat="1" applyFont="1" applyFill="1" applyAlignment="1">
      <alignment vertical="center"/>
    </xf>
    <xf numFmtId="49" fontId="9" fillId="3" borderId="30" xfId="2" applyNumberFormat="1" applyFont="1" applyFill="1" applyBorder="1" applyAlignment="1">
      <alignment vertical="center"/>
    </xf>
    <xf numFmtId="49" fontId="9" fillId="3" borderId="52" xfId="2" applyNumberFormat="1" applyFont="1" applyFill="1" applyBorder="1" applyAlignment="1">
      <alignment vertical="center"/>
    </xf>
    <xf numFmtId="49" fontId="50" fillId="3" borderId="5" xfId="2" applyNumberFormat="1" applyFont="1" applyFill="1" applyBorder="1" applyAlignment="1">
      <alignment horizontal="center" vertical="center"/>
    </xf>
    <xf numFmtId="49" fontId="13" fillId="0" borderId="0" xfId="2" applyNumberFormat="1" applyFont="1" applyFill="1" applyAlignment="1">
      <alignment vertical="center"/>
    </xf>
    <xf numFmtId="3" fontId="28" fillId="3" borderId="0" xfId="2" applyNumberFormat="1" applyFont="1" applyFill="1" applyAlignment="1">
      <alignment vertical="center"/>
    </xf>
    <xf numFmtId="1" fontId="57" fillId="3" borderId="58" xfId="2" applyNumberFormat="1" applyFont="1" applyFill="1" applyBorder="1" applyAlignment="1">
      <alignment vertical="center"/>
    </xf>
    <xf numFmtId="3" fontId="17" fillId="3" borderId="61" xfId="2" applyNumberFormat="1" applyFont="1" applyFill="1" applyBorder="1" applyAlignment="1">
      <alignment horizontal="center" vertical="center"/>
    </xf>
    <xf numFmtId="3" fontId="17" fillId="3" borderId="1" xfId="2" applyNumberFormat="1" applyFont="1" applyFill="1" applyBorder="1" applyAlignment="1">
      <alignment horizontal="left" vertical="center"/>
    </xf>
    <xf numFmtId="3" fontId="19" fillId="3" borderId="58" xfId="2" applyNumberFormat="1" applyFont="1" applyFill="1" applyBorder="1" applyAlignment="1">
      <alignment horizontal="left" wrapText="1"/>
    </xf>
    <xf numFmtId="2" fontId="19" fillId="3" borderId="20" xfId="2" applyNumberFormat="1" applyFont="1" applyFill="1" applyBorder="1" applyAlignment="1">
      <alignment horizontal="right" vertical="center"/>
    </xf>
    <xf numFmtId="2" fontId="19" fillId="3" borderId="53" xfId="2" applyNumberFormat="1" applyFont="1" applyFill="1" applyBorder="1" applyAlignment="1">
      <alignment horizontal="right" vertical="center"/>
    </xf>
    <xf numFmtId="2" fontId="19" fillId="3" borderId="54" xfId="2" applyNumberFormat="1" applyFont="1" applyFill="1" applyBorder="1" applyAlignment="1">
      <alignment horizontal="right" vertical="center"/>
    </xf>
    <xf numFmtId="3" fontId="19" fillId="3" borderId="15" xfId="2" applyNumberFormat="1" applyFont="1" applyFill="1" applyBorder="1" applyAlignment="1">
      <alignment vertical="center" shrinkToFit="1"/>
    </xf>
    <xf numFmtId="1" fontId="57" fillId="0" borderId="16" xfId="2" applyNumberFormat="1" applyFont="1" applyFill="1" applyBorder="1" applyAlignment="1">
      <alignment horizontal="right" vertical="center"/>
    </xf>
    <xf numFmtId="3" fontId="19" fillId="3" borderId="15" xfId="3" applyNumberFormat="1" applyFont="1" applyFill="1" applyBorder="1" applyAlignment="1">
      <alignment vertical="center"/>
    </xf>
    <xf numFmtId="3" fontId="17" fillId="3" borderId="16" xfId="2" applyNumberFormat="1" applyFont="1" applyFill="1" applyBorder="1" applyAlignment="1">
      <alignment horizontal="left" vertical="center" wrapText="1" indent="1"/>
    </xf>
    <xf numFmtId="41" fontId="17" fillId="3" borderId="15" xfId="0" applyNumberFormat="1" applyFont="1" applyFill="1" applyBorder="1" applyAlignment="1">
      <alignment horizontal="left" vertical="center"/>
    </xf>
    <xf numFmtId="41" fontId="17" fillId="3" borderId="54" xfId="0" applyNumberFormat="1" applyFont="1" applyFill="1" applyBorder="1" applyAlignment="1">
      <alignment horizontal="left" vertical="center"/>
    </xf>
    <xf numFmtId="41" fontId="17" fillId="3" borderId="53" xfId="0" applyNumberFormat="1" applyFont="1" applyFill="1" applyBorder="1" applyAlignment="1">
      <alignment horizontal="left" vertical="center"/>
    </xf>
    <xf numFmtId="41" fontId="17" fillId="3" borderId="16" xfId="2" applyNumberFormat="1" applyFont="1" applyFill="1" applyBorder="1" applyAlignment="1">
      <alignment horizontal="right" vertical="center"/>
    </xf>
    <xf numFmtId="41" fontId="17" fillId="3" borderId="15" xfId="2" applyNumberFormat="1" applyFont="1" applyFill="1" applyBorder="1" applyAlignment="1">
      <alignment horizontal="right" vertical="center"/>
    </xf>
    <xf numFmtId="41" fontId="17" fillId="3" borderId="54" xfId="2" applyNumberFormat="1" applyFont="1" applyFill="1" applyBorder="1" applyAlignment="1">
      <alignment horizontal="right" vertical="center"/>
    </xf>
    <xf numFmtId="3" fontId="17" fillId="3" borderId="15" xfId="2" applyNumberFormat="1" applyFont="1" applyFill="1" applyBorder="1" applyAlignment="1">
      <alignment horizontal="left" wrapText="1"/>
    </xf>
    <xf numFmtId="4" fontId="17" fillId="3" borderId="54" xfId="2" applyNumberFormat="1" applyFont="1" applyFill="1" applyBorder="1" applyAlignment="1">
      <alignment horizontal="right" vertical="center"/>
    </xf>
    <xf numFmtId="4" fontId="17" fillId="3" borderId="53" xfId="2" applyNumberFormat="1" applyFont="1" applyFill="1" applyBorder="1" applyAlignment="1">
      <alignment horizontal="right" vertical="center"/>
    </xf>
    <xf numFmtId="3" fontId="17" fillId="3" borderId="9" xfId="2" applyNumberFormat="1" applyFont="1" applyFill="1" applyBorder="1" applyAlignment="1">
      <alignment horizontal="right" vertical="center"/>
    </xf>
    <xf numFmtId="3" fontId="17" fillId="3" borderId="5" xfId="2" applyNumberFormat="1" applyFont="1" applyFill="1" applyBorder="1" applyAlignment="1">
      <alignment horizontal="right" vertical="center"/>
    </xf>
    <xf numFmtId="3" fontId="17" fillId="3" borderId="5" xfId="2" applyNumberFormat="1" applyFont="1" applyFill="1" applyBorder="1" applyAlignment="1">
      <alignment vertical="center"/>
    </xf>
    <xf numFmtId="4" fontId="17" fillId="3" borderId="20" xfId="2" applyNumberFormat="1" applyFont="1" applyFill="1" applyBorder="1" applyAlignment="1">
      <alignment horizontal="right" vertical="center"/>
    </xf>
    <xf numFmtId="3" fontId="17" fillId="3" borderId="38" xfId="2" applyNumberFormat="1" applyFont="1" applyFill="1" applyBorder="1" applyAlignment="1">
      <alignment horizontal="left"/>
    </xf>
    <xf numFmtId="3" fontId="19" fillId="3" borderId="9" xfId="2" applyNumberFormat="1" applyFont="1" applyFill="1" applyBorder="1" applyAlignment="1">
      <alignment horizontal="right" vertical="center"/>
    </xf>
    <xf numFmtId="3" fontId="17" fillId="3" borderId="9" xfId="2" applyNumberFormat="1" applyFont="1" applyFill="1" applyBorder="1" applyAlignment="1">
      <alignment vertical="center"/>
    </xf>
    <xf numFmtId="41" fontId="14" fillId="0" borderId="0" xfId="0" applyNumberFormat="1" applyFont="1" applyFill="1" applyAlignment="1">
      <alignment vertical="center" shrinkToFit="1"/>
    </xf>
    <xf numFmtId="41" fontId="11" fillId="0" borderId="0" xfId="0" applyNumberFormat="1" applyFont="1" applyFill="1" applyAlignment="1">
      <alignment vertical="center" shrinkToFit="1"/>
    </xf>
    <xf numFmtId="3" fontId="19" fillId="3" borderId="15" xfId="2" applyNumberFormat="1" applyFont="1" applyFill="1" applyBorder="1" applyAlignment="1">
      <alignment vertical="center" wrapText="1"/>
    </xf>
    <xf numFmtId="3" fontId="19" fillId="3" borderId="15" xfId="2" applyNumberFormat="1" applyFont="1" applyFill="1" applyBorder="1" applyAlignment="1">
      <alignment horizontal="left"/>
    </xf>
    <xf numFmtId="3" fontId="17" fillId="3" borderId="16" xfId="2" applyNumberFormat="1" applyFont="1" applyFill="1" applyBorder="1" applyAlignment="1">
      <alignment horizontal="left" wrapText="1"/>
    </xf>
    <xf numFmtId="3" fontId="19" fillId="3" borderId="16" xfId="2" applyNumberFormat="1" applyFont="1" applyFill="1" applyBorder="1" applyAlignment="1">
      <alignment vertical="center"/>
    </xf>
    <xf numFmtId="3" fontId="19" fillId="3" borderId="15" xfId="2" applyNumberFormat="1" applyFont="1" applyFill="1" applyBorder="1" applyAlignment="1">
      <alignment horizontal="left" wrapText="1"/>
    </xf>
    <xf numFmtId="3" fontId="19" fillId="10" borderId="82" xfId="2" applyNumberFormat="1" applyFont="1" applyFill="1" applyBorder="1" applyAlignment="1">
      <alignment horizontal="left"/>
    </xf>
    <xf numFmtId="3" fontId="17" fillId="10" borderId="82" xfId="2" applyNumberFormat="1" applyFont="1" applyFill="1" applyBorder="1" applyAlignment="1">
      <alignment horizontal="right" vertical="center"/>
    </xf>
    <xf numFmtId="3" fontId="17" fillId="10" borderId="82" xfId="2" applyNumberFormat="1" applyFont="1" applyFill="1" applyBorder="1" applyAlignment="1">
      <alignment vertical="center"/>
    </xf>
    <xf numFmtId="3" fontId="19" fillId="10" borderId="82" xfId="2" applyNumberFormat="1" applyFont="1" applyFill="1" applyBorder="1" applyAlignment="1">
      <alignment horizontal="right" vertical="center"/>
    </xf>
    <xf numFmtId="3" fontId="19" fillId="10" borderId="82" xfId="2" applyNumberFormat="1" applyFont="1" applyFill="1" applyBorder="1" applyAlignment="1">
      <alignment vertical="center"/>
    </xf>
    <xf numFmtId="4" fontId="19" fillId="10" borderId="82" xfId="2" applyNumberFormat="1" applyFont="1" applyFill="1" applyBorder="1" applyAlignment="1">
      <alignment horizontal="right" vertical="center"/>
    </xf>
    <xf numFmtId="3" fontId="48" fillId="10" borderId="82" xfId="2" quotePrefix="1" applyNumberFormat="1" applyFont="1" applyFill="1" applyBorder="1" applyAlignment="1">
      <alignment horizontal="center" vertical="center"/>
    </xf>
    <xf numFmtId="2" fontId="19" fillId="10" borderId="82" xfId="2" applyNumberFormat="1" applyFont="1" applyFill="1" applyBorder="1" applyAlignment="1">
      <alignment horizontal="right" vertical="center"/>
    </xf>
    <xf numFmtId="3" fontId="17" fillId="3" borderId="33" xfId="2" applyNumberFormat="1" applyFont="1" applyFill="1" applyBorder="1" applyAlignment="1">
      <alignment horizontal="right" vertical="center"/>
    </xf>
    <xf numFmtId="3" fontId="17" fillId="3" borderId="58" xfId="2" applyNumberFormat="1" applyFont="1" applyFill="1" applyBorder="1" applyAlignment="1">
      <alignment horizontal="right" vertical="center"/>
    </xf>
    <xf numFmtId="3" fontId="48" fillId="3" borderId="15" xfId="2" applyNumberFormat="1" applyFont="1" applyFill="1" applyBorder="1" applyAlignment="1">
      <alignment horizontal="left"/>
    </xf>
    <xf numFmtId="3" fontId="19" fillId="3" borderId="13" xfId="2" applyNumberFormat="1" applyFont="1" applyFill="1" applyBorder="1" applyAlignment="1">
      <alignment horizontal="left"/>
    </xf>
    <xf numFmtId="3" fontId="69" fillId="0" borderId="0" xfId="2" applyNumberFormat="1" applyFont="1" applyFill="1" applyAlignment="1">
      <alignment vertical="center"/>
    </xf>
    <xf numFmtId="3" fontId="17" fillId="3" borderId="13" xfId="2" applyNumberFormat="1" applyFont="1" applyFill="1" applyBorder="1" applyAlignment="1">
      <alignment horizontal="left"/>
    </xf>
    <xf numFmtId="3" fontId="11" fillId="3" borderId="9" xfId="0" applyNumberFormat="1" applyFont="1" applyFill="1" applyBorder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/>
    </xf>
    <xf numFmtId="3" fontId="23" fillId="3" borderId="8" xfId="0" applyNumberFormat="1" applyFont="1" applyFill="1" applyBorder="1" applyAlignment="1">
      <alignment horizontal="left" vertical="center"/>
    </xf>
    <xf numFmtId="3" fontId="23" fillId="3" borderId="23" xfId="0" applyNumberFormat="1" applyFont="1" applyFill="1" applyBorder="1" applyAlignment="1">
      <alignment horizontal="left" vertical="center"/>
    </xf>
    <xf numFmtId="3" fontId="23" fillId="3" borderId="11" xfId="0" applyNumberFormat="1" applyFont="1" applyFill="1" applyBorder="1" applyAlignment="1">
      <alignment horizontal="left" vertical="center"/>
    </xf>
    <xf numFmtId="3" fontId="21" fillId="3" borderId="1" xfId="0" applyNumberFormat="1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19" fillId="12" borderId="15" xfId="2" applyNumberFormat="1" applyFont="1" applyFill="1" applyBorder="1" applyAlignment="1">
      <alignment horizontal="left" wrapText="1"/>
    </xf>
    <xf numFmtId="3" fontId="19" fillId="12" borderId="15" xfId="2" applyNumberFormat="1" applyFont="1" applyFill="1" applyBorder="1" applyAlignment="1">
      <alignment horizontal="right" vertical="center"/>
    </xf>
    <xf numFmtId="3" fontId="19" fillId="12" borderId="15" xfId="2" applyNumberFormat="1" applyFont="1" applyFill="1" applyBorder="1" applyAlignment="1">
      <alignment vertical="center"/>
    </xf>
    <xf numFmtId="4" fontId="19" fillId="12" borderId="15" xfId="2" applyNumberFormat="1" applyFont="1" applyFill="1" applyBorder="1" applyAlignment="1">
      <alignment horizontal="right" vertical="center"/>
    </xf>
    <xf numFmtId="4" fontId="19" fillId="12" borderId="50" xfId="2" applyNumberFormat="1" applyFont="1" applyFill="1" applyBorder="1" applyAlignment="1">
      <alignment horizontal="right" vertical="center"/>
    </xf>
    <xf numFmtId="4" fontId="19" fillId="12" borderId="53" xfId="2" applyNumberFormat="1" applyFont="1" applyFill="1" applyBorder="1" applyAlignment="1">
      <alignment horizontal="right" vertical="center"/>
    </xf>
    <xf numFmtId="4" fontId="19" fillId="12" borderId="20" xfId="2" applyNumberFormat="1" applyFont="1" applyFill="1" applyBorder="1" applyAlignment="1">
      <alignment horizontal="right" vertical="center"/>
    </xf>
    <xf numFmtId="3" fontId="51" fillId="12" borderId="15" xfId="2" quotePrefix="1" applyNumberFormat="1" applyFont="1" applyFill="1" applyBorder="1" applyAlignment="1">
      <alignment horizontal="center" vertical="center"/>
    </xf>
    <xf numFmtId="3" fontId="51" fillId="12" borderId="15" xfId="2" applyNumberFormat="1" applyFont="1" applyFill="1" applyBorder="1" applyAlignment="1">
      <alignment horizontal="left" vertical="center" indent="2"/>
    </xf>
    <xf numFmtId="0" fontId="17" fillId="3" borderId="15" xfId="0" applyFont="1" applyFill="1" applyBorder="1"/>
    <xf numFmtId="0" fontId="17" fillId="0" borderId="15" xfId="0" applyFont="1" applyBorder="1"/>
    <xf numFmtId="3" fontId="17" fillId="0" borderId="15" xfId="2" applyNumberFormat="1" applyFont="1" applyFill="1" applyBorder="1" applyAlignment="1">
      <alignment vertical="center"/>
    </xf>
    <xf numFmtId="3" fontId="17" fillId="0" borderId="0" xfId="2" applyNumberFormat="1" applyFont="1" applyFill="1" applyAlignment="1">
      <alignment vertical="center"/>
    </xf>
    <xf numFmtId="0" fontId="48" fillId="3" borderId="15" xfId="0" applyFont="1" applyFill="1" applyBorder="1"/>
    <xf numFmtId="3" fontId="19" fillId="10" borderId="13" xfId="2" applyNumberFormat="1" applyFont="1" applyFill="1" applyBorder="1" applyAlignment="1">
      <alignment horizontal="left"/>
    </xf>
    <xf numFmtId="3" fontId="17" fillId="10" borderId="16" xfId="2" applyNumberFormat="1" applyFont="1" applyFill="1" applyBorder="1" applyAlignment="1">
      <alignment horizontal="right" vertical="center"/>
    </xf>
    <xf numFmtId="3" fontId="17" fillId="10" borderId="16" xfId="2" applyNumberFormat="1" applyFont="1" applyFill="1" applyBorder="1" applyAlignment="1">
      <alignment vertical="center"/>
    </xf>
    <xf numFmtId="3" fontId="19" fillId="10" borderId="15" xfId="2" applyNumberFormat="1" applyFont="1" applyFill="1" applyBorder="1" applyAlignment="1">
      <alignment horizontal="right" vertical="center"/>
    </xf>
    <xf numFmtId="3" fontId="19" fillId="10" borderId="15" xfId="2" applyNumberFormat="1" applyFont="1" applyFill="1" applyBorder="1" applyAlignment="1">
      <alignment vertical="center"/>
    </xf>
    <xf numFmtId="4" fontId="19" fillId="10" borderId="54" xfId="2" applyNumberFormat="1" applyFont="1" applyFill="1" applyBorder="1" applyAlignment="1">
      <alignment horizontal="right" vertical="center"/>
    </xf>
    <xf numFmtId="3" fontId="48" fillId="10" borderId="15" xfId="2" quotePrefix="1" applyNumberFormat="1" applyFont="1" applyFill="1" applyBorder="1" applyAlignment="1">
      <alignment horizontal="center" vertical="center"/>
    </xf>
    <xf numFmtId="4" fontId="19" fillId="10" borderId="53" xfId="2" applyNumberFormat="1" applyFont="1" applyFill="1" applyBorder="1" applyAlignment="1">
      <alignment horizontal="right" vertical="center"/>
    </xf>
    <xf numFmtId="0" fontId="23" fillId="3" borderId="0" xfId="0" applyNumberFormat="1" applyFont="1" applyFill="1" applyAlignment="1">
      <alignment horizontal="center" vertical="center" wrapText="1"/>
    </xf>
    <xf numFmtId="0" fontId="23" fillId="3" borderId="0" xfId="0" applyFont="1" applyFill="1" applyAlignment="1">
      <alignment vertical="center" wrapText="1"/>
    </xf>
    <xf numFmtId="3" fontId="23" fillId="3" borderId="0" xfId="0" applyNumberFormat="1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right" vertical="center"/>
    </xf>
    <xf numFmtId="0" fontId="24" fillId="3" borderId="46" xfId="0" applyFont="1" applyFill="1" applyBorder="1" applyAlignment="1">
      <alignment horizontal="center" vertical="center" wrapText="1"/>
    </xf>
    <xf numFmtId="3" fontId="24" fillId="3" borderId="46" xfId="0" applyNumberFormat="1" applyFont="1" applyFill="1" applyBorder="1" applyAlignment="1">
      <alignment horizontal="center" vertical="center" wrapText="1"/>
    </xf>
    <xf numFmtId="3" fontId="24" fillId="3" borderId="90" xfId="0" applyNumberFormat="1" applyFont="1" applyFill="1" applyBorder="1" applyAlignment="1">
      <alignment horizontal="center" vertical="center" wrapText="1"/>
    </xf>
    <xf numFmtId="0" fontId="24" fillId="3" borderId="47" xfId="0" applyFont="1" applyFill="1" applyBorder="1" applyAlignment="1">
      <alignment horizontal="center" vertical="center"/>
    </xf>
    <xf numFmtId="0" fontId="70" fillId="3" borderId="15" xfId="0" applyFont="1" applyFill="1" applyBorder="1" applyAlignment="1">
      <alignment vertical="center" wrapText="1"/>
    </xf>
    <xf numFmtId="3" fontId="70" fillId="3" borderId="15" xfId="0" applyNumberFormat="1" applyFont="1" applyFill="1" applyBorder="1" applyAlignment="1">
      <alignment vertical="center"/>
    </xf>
    <xf numFmtId="0" fontId="70" fillId="3" borderId="15" xfId="0" applyFont="1" applyFill="1" applyBorder="1" applyAlignment="1">
      <alignment horizontal="center" vertical="center"/>
    </xf>
    <xf numFmtId="0" fontId="23" fillId="3" borderId="50" xfId="0" applyFont="1" applyFill="1" applyBorder="1" applyAlignment="1">
      <alignment horizontal="center" vertical="center"/>
    </xf>
    <xf numFmtId="0" fontId="23" fillId="3" borderId="54" xfId="0" applyFont="1" applyFill="1" applyBorder="1" applyAlignment="1">
      <alignment horizontal="center" vertical="center" wrapText="1"/>
    </xf>
    <xf numFmtId="0" fontId="24" fillId="3" borderId="51" xfId="0" applyFont="1" applyFill="1" applyBorder="1" applyAlignment="1">
      <alignment horizontal="left" vertical="center" wrapText="1"/>
    </xf>
    <xf numFmtId="3" fontId="24" fillId="3" borderId="82" xfId="0" applyNumberFormat="1" applyFont="1" applyFill="1" applyBorder="1" applyAlignment="1">
      <alignment horizontal="right" vertical="center" wrapText="1"/>
    </xf>
    <xf numFmtId="3" fontId="24" fillId="3" borderId="51" xfId="0" applyNumberFormat="1" applyFont="1" applyFill="1" applyBorder="1" applyAlignment="1">
      <alignment horizontal="right" vertical="center" wrapText="1"/>
    </xf>
    <xf numFmtId="0" fontId="23" fillId="3" borderId="51" xfId="0" applyFont="1" applyFill="1" applyBorder="1" applyAlignment="1">
      <alignment horizontal="center" vertical="center"/>
    </xf>
    <xf numFmtId="0" fontId="23" fillId="3" borderId="0" xfId="0" applyFont="1" applyFill="1"/>
    <xf numFmtId="0" fontId="23" fillId="3" borderId="0" xfId="0" applyFont="1" applyFill="1" applyAlignment="1">
      <alignment horizontal="center"/>
    </xf>
    <xf numFmtId="2" fontId="24" fillId="0" borderId="70" xfId="0" applyNumberFormat="1" applyFont="1" applyFill="1" applyBorder="1" applyAlignment="1">
      <alignment horizontal="center" shrinkToFit="1"/>
    </xf>
    <xf numFmtId="3" fontId="9" fillId="6" borderId="82" xfId="2" applyNumberFormat="1" applyFont="1" applyFill="1" applyBorder="1" applyAlignment="1">
      <alignment horizontal="center" vertical="center"/>
    </xf>
    <xf numFmtId="3" fontId="10" fillId="6" borderId="82" xfId="2" applyNumberFormat="1" applyFont="1" applyFill="1" applyBorder="1" applyAlignment="1">
      <alignment horizontal="center" vertical="center"/>
    </xf>
    <xf numFmtId="49" fontId="50" fillId="3" borderId="9" xfId="2" applyNumberFormat="1" applyFont="1" applyFill="1" applyBorder="1" applyAlignment="1">
      <alignment horizontal="center" vertical="center"/>
    </xf>
    <xf numFmtId="3" fontId="9" fillId="6" borderId="82" xfId="2" applyNumberFormat="1" applyFont="1" applyFill="1" applyBorder="1" applyAlignment="1">
      <alignment horizontal="center" vertical="center" wrapText="1"/>
    </xf>
    <xf numFmtId="49" fontId="50" fillId="3" borderId="61" xfId="2" applyNumberFormat="1" applyFont="1" applyFill="1" applyBorder="1" applyAlignment="1">
      <alignment horizontal="center" vertical="center"/>
    </xf>
    <xf numFmtId="49" fontId="50" fillId="3" borderId="30" xfId="2" applyNumberFormat="1" applyFont="1" applyFill="1" applyBorder="1" applyAlignment="1">
      <alignment horizontal="center" vertical="center"/>
    </xf>
    <xf numFmtId="49" fontId="50" fillId="3" borderId="52" xfId="2" applyNumberFormat="1" applyFont="1" applyFill="1" applyBorder="1" applyAlignment="1">
      <alignment horizontal="center" vertical="center"/>
    </xf>
    <xf numFmtId="49" fontId="9" fillId="3" borderId="16" xfId="2" applyNumberFormat="1" applyFont="1" applyFill="1" applyBorder="1" applyAlignment="1">
      <alignment horizontal="center" vertical="center"/>
    </xf>
    <xf numFmtId="3" fontId="50" fillId="6" borderId="68" xfId="2" applyNumberFormat="1" applyFont="1" applyFill="1" applyBorder="1" applyAlignment="1">
      <alignment horizontal="center" vertical="center"/>
    </xf>
    <xf numFmtId="3" fontId="50" fillId="6" borderId="69" xfId="2" applyNumberFormat="1" applyFont="1" applyFill="1" applyBorder="1" applyAlignment="1">
      <alignment horizontal="center" vertical="center"/>
    </xf>
    <xf numFmtId="3" fontId="57" fillId="3" borderId="32" xfId="2" applyNumberFormat="1" applyFont="1" applyFill="1" applyBorder="1" applyAlignment="1">
      <alignment horizontal="center" vertical="center"/>
    </xf>
    <xf numFmtId="0" fontId="47" fillId="3" borderId="0" xfId="0" applyFont="1" applyFill="1" applyAlignment="1">
      <alignment horizontal="center"/>
    </xf>
    <xf numFmtId="0" fontId="17" fillId="3" borderId="0" xfId="0" applyFont="1" applyFill="1"/>
    <xf numFmtId="0" fontId="73" fillId="3" borderId="0" xfId="0" applyFont="1" applyFill="1"/>
    <xf numFmtId="0" fontId="58" fillId="3" borderId="0" xfId="0" applyFont="1" applyFill="1"/>
    <xf numFmtId="0" fontId="74" fillId="3" borderId="0" xfId="0" applyFont="1" applyFill="1"/>
    <xf numFmtId="0" fontId="75" fillId="3" borderId="12" xfId="0" applyFont="1" applyFill="1" applyBorder="1" applyAlignment="1">
      <alignment horizontal="center" vertical="center"/>
    </xf>
    <xf numFmtId="0" fontId="75" fillId="3" borderId="13" xfId="0" applyFont="1" applyFill="1" applyBorder="1" applyAlignment="1">
      <alignment horizontal="center" vertical="center"/>
    </xf>
    <xf numFmtId="0" fontId="23" fillId="3" borderId="15" xfId="6" applyFont="1" applyFill="1" applyBorder="1" applyAlignment="1">
      <alignment horizontal="center" vertical="center"/>
    </xf>
    <xf numFmtId="0" fontId="23" fillId="3" borderId="15" xfId="6" applyFont="1" applyFill="1" applyBorder="1" applyAlignment="1">
      <alignment horizontal="center" vertical="center" wrapText="1"/>
    </xf>
    <xf numFmtId="0" fontId="47" fillId="3" borderId="60" xfId="0" applyFont="1" applyFill="1" applyBorder="1" applyAlignment="1">
      <alignment horizontal="center"/>
    </xf>
    <xf numFmtId="3" fontId="75" fillId="3" borderId="59" xfId="0" applyNumberFormat="1" applyFont="1" applyFill="1" applyBorder="1"/>
    <xf numFmtId="3" fontId="58" fillId="3" borderId="81" xfId="0" applyNumberFormat="1" applyFont="1" applyFill="1" applyBorder="1"/>
    <xf numFmtId="3" fontId="46" fillId="3" borderId="14" xfId="0" applyNumberFormat="1" applyFont="1" applyFill="1" applyBorder="1" applyAlignment="1">
      <alignment vertical="center"/>
    </xf>
    <xf numFmtId="3" fontId="58" fillId="3" borderId="14" xfId="0" applyNumberFormat="1" applyFont="1" applyFill="1" applyBorder="1" applyAlignment="1">
      <alignment vertical="center"/>
    </xf>
    <xf numFmtId="3" fontId="58" fillId="3" borderId="94" xfId="0" applyNumberFormat="1" applyFont="1" applyFill="1" applyBorder="1" applyAlignment="1">
      <alignment vertical="center"/>
    </xf>
    <xf numFmtId="0" fontId="77" fillId="3" borderId="0" xfId="0" applyFont="1" applyFill="1" applyAlignment="1">
      <alignment horizontal="left"/>
    </xf>
    <xf numFmtId="16" fontId="78" fillId="3" borderId="0" xfId="0" quotePrefix="1" applyNumberFormat="1" applyFont="1" applyFill="1" applyAlignment="1">
      <alignment horizontal="center" vertical="top"/>
    </xf>
    <xf numFmtId="0" fontId="47" fillId="3" borderId="0" xfId="0" applyFont="1" applyFill="1" applyAlignment="1">
      <alignment horizontal="center" vertical="center"/>
    </xf>
    <xf numFmtId="0" fontId="46" fillId="3" borderId="0" xfId="0" applyFont="1" applyFill="1" applyBorder="1" applyAlignment="1">
      <alignment vertical="center"/>
    </xf>
    <xf numFmtId="3" fontId="79" fillId="3" borderId="0" xfId="0" applyNumberFormat="1" applyFont="1" applyFill="1" applyBorder="1" applyAlignment="1">
      <alignment vertical="center"/>
    </xf>
    <xf numFmtId="3" fontId="58" fillId="3" borderId="0" xfId="0" applyNumberFormat="1" applyFont="1" applyFill="1" applyBorder="1" applyAlignment="1">
      <alignment vertical="center"/>
    </xf>
    <xf numFmtId="0" fontId="75" fillId="3" borderId="59" xfId="0" applyFont="1" applyFill="1" applyBorder="1" applyAlignment="1">
      <alignment horizontal="left" wrapText="1"/>
    </xf>
    <xf numFmtId="3" fontId="47" fillId="3" borderId="16" xfId="0" applyNumberFormat="1" applyFont="1" applyFill="1" applyBorder="1"/>
    <xf numFmtId="3" fontId="47" fillId="3" borderId="58" xfId="0" applyNumberFormat="1" applyFont="1" applyFill="1" applyBorder="1"/>
    <xf numFmtId="3" fontId="47" fillId="3" borderId="15" xfId="0" applyNumberFormat="1" applyFont="1" applyFill="1" applyBorder="1"/>
    <xf numFmtId="3" fontId="46" fillId="3" borderId="14" xfId="0" applyNumberFormat="1" applyFont="1" applyFill="1" applyBorder="1" applyAlignment="1">
      <alignment horizontal="right" vertical="center"/>
    </xf>
    <xf numFmtId="3" fontId="58" fillId="3" borderId="56" xfId="0" applyNumberFormat="1" applyFont="1" applyFill="1" applyBorder="1" applyAlignment="1">
      <alignment vertical="center"/>
    </xf>
    <xf numFmtId="3" fontId="58" fillId="3" borderId="0" xfId="0" applyNumberFormat="1" applyFont="1" applyFill="1"/>
    <xf numFmtId="0" fontId="75" fillId="3" borderId="15" xfId="0" applyFont="1" applyFill="1" applyBorder="1" applyAlignment="1">
      <alignment horizontal="center" vertical="center"/>
    </xf>
    <xf numFmtId="0" fontId="75" fillId="3" borderId="15" xfId="6" applyFont="1" applyFill="1" applyBorder="1" applyAlignment="1">
      <alignment horizontal="center" vertical="center"/>
    </xf>
    <xf numFmtId="0" fontId="75" fillId="3" borderId="15" xfId="6" applyFont="1" applyFill="1" applyBorder="1" applyAlignment="1">
      <alignment horizontal="center" vertical="center" wrapText="1"/>
    </xf>
    <xf numFmtId="3" fontId="75" fillId="3" borderId="15" xfId="0" applyNumberFormat="1" applyFont="1" applyFill="1" applyBorder="1"/>
    <xf numFmtId="3" fontId="46" fillId="3" borderId="53" xfId="0" applyNumberFormat="1" applyFont="1" applyFill="1" applyBorder="1" applyAlignment="1">
      <alignment horizontal="right"/>
    </xf>
    <xf numFmtId="0" fontId="75" fillId="3" borderId="40" xfId="0" quotePrefix="1" applyFont="1" applyFill="1" applyBorder="1" applyAlignment="1">
      <alignment horizontal="center" vertical="center"/>
    </xf>
    <xf numFmtId="0" fontId="75" fillId="3" borderId="15" xfId="0" applyFont="1" applyFill="1" applyBorder="1" applyAlignment="1">
      <alignment horizontal="left" vertical="center" wrapText="1"/>
    </xf>
    <xf numFmtId="3" fontId="46" fillId="3" borderId="16" xfId="0" applyNumberFormat="1" applyFont="1" applyFill="1" applyBorder="1"/>
    <xf numFmtId="0" fontId="75" fillId="3" borderId="57" xfId="0" quotePrefix="1" applyFont="1" applyFill="1" applyBorder="1" applyAlignment="1">
      <alignment horizontal="center"/>
    </xf>
    <xf numFmtId="0" fontId="75" fillId="3" borderId="5" xfId="0" applyFont="1" applyFill="1" applyBorder="1" applyAlignment="1">
      <alignment wrapText="1"/>
    </xf>
    <xf numFmtId="3" fontId="75" fillId="7" borderId="14" xfId="0" applyNumberFormat="1" applyFont="1" applyFill="1" applyBorder="1"/>
    <xf numFmtId="3" fontId="46" fillId="7" borderId="56" xfId="0" applyNumberFormat="1" applyFont="1" applyFill="1" applyBorder="1" applyAlignment="1">
      <alignment horizontal="right"/>
    </xf>
    <xf numFmtId="0" fontId="47" fillId="3" borderId="63" xfId="0" applyFont="1" applyFill="1" applyBorder="1" applyAlignment="1">
      <alignment horizontal="center"/>
    </xf>
    <xf numFmtId="3" fontId="58" fillId="3" borderId="92" xfId="0" applyNumberFormat="1" applyFont="1" applyFill="1" applyBorder="1"/>
    <xf numFmtId="0" fontId="46" fillId="3" borderId="82" xfId="0" applyFont="1" applyFill="1" applyBorder="1" applyAlignment="1">
      <alignment horizontal="center" vertical="center"/>
    </xf>
    <xf numFmtId="3" fontId="46" fillId="3" borderId="82" xfId="0" applyNumberFormat="1" applyFont="1" applyFill="1" applyBorder="1" applyAlignment="1">
      <alignment vertical="center"/>
    </xf>
    <xf numFmtId="3" fontId="58" fillId="3" borderId="82" xfId="0" applyNumberFormat="1" applyFont="1" applyFill="1" applyBorder="1" applyAlignment="1">
      <alignment vertical="center"/>
    </xf>
    <xf numFmtId="3" fontId="75" fillId="14" borderId="59" xfId="0" applyNumberFormat="1" applyFont="1" applyFill="1" applyBorder="1"/>
    <xf numFmtId="0" fontId="75" fillId="3" borderId="59" xfId="0" applyFont="1" applyFill="1" applyBorder="1" applyAlignment="1">
      <alignment wrapText="1"/>
    </xf>
    <xf numFmtId="0" fontId="75" fillId="7" borderId="82" xfId="0" quotePrefix="1" applyFont="1" applyFill="1" applyBorder="1" applyAlignment="1">
      <alignment horizontal="center"/>
    </xf>
    <xf numFmtId="3" fontId="48" fillId="3" borderId="82" xfId="2" quotePrefix="1" applyNumberFormat="1" applyFont="1" applyFill="1" applyBorder="1" applyAlignment="1">
      <alignment horizontal="center" vertical="center"/>
    </xf>
    <xf numFmtId="3" fontId="75" fillId="7" borderId="82" xfId="0" applyNumberFormat="1" applyFont="1" applyFill="1" applyBorder="1"/>
    <xf numFmtId="3" fontId="46" fillId="7" borderId="82" xfId="0" applyNumberFormat="1" applyFont="1" applyFill="1" applyBorder="1" applyAlignment="1">
      <alignment horizontal="right"/>
    </xf>
    <xf numFmtId="3" fontId="75" fillId="14" borderId="82" xfId="0" applyNumberFormat="1" applyFont="1" applyFill="1" applyBorder="1"/>
    <xf numFmtId="0" fontId="70" fillId="3" borderId="0" xfId="0" applyNumberFormat="1" applyFont="1" applyFill="1" applyAlignment="1">
      <alignment horizontal="center" vertical="center" wrapText="1"/>
    </xf>
    <xf numFmtId="0" fontId="70" fillId="0" borderId="0" xfId="0" applyFont="1"/>
    <xf numFmtId="0" fontId="70" fillId="3" borderId="0" xfId="0" applyFont="1" applyFill="1" applyAlignment="1">
      <alignment vertical="center" wrapText="1"/>
    </xf>
    <xf numFmtId="3" fontId="70" fillId="3" borderId="0" xfId="0" applyNumberFormat="1" applyFont="1" applyFill="1" applyAlignment="1">
      <alignment vertical="center"/>
    </xf>
    <xf numFmtId="0" fontId="70" fillId="3" borderId="0" xfId="0" applyFont="1" applyFill="1" applyAlignment="1">
      <alignment horizontal="center" vertical="center"/>
    </xf>
    <xf numFmtId="0" fontId="70" fillId="3" borderId="0" xfId="0" applyFont="1" applyFill="1" applyAlignment="1">
      <alignment horizontal="right" vertical="center"/>
    </xf>
    <xf numFmtId="0" fontId="80" fillId="3" borderId="95" xfId="6" applyFont="1" applyFill="1" applyBorder="1" applyAlignment="1">
      <alignment vertical="center" wrapText="1"/>
    </xf>
    <xf numFmtId="0" fontId="81" fillId="3" borderId="67" xfId="6" applyFont="1" applyFill="1" applyBorder="1" applyAlignment="1">
      <alignment horizontal="center" vertical="center" wrapText="1"/>
    </xf>
    <xf numFmtId="0" fontId="81" fillId="3" borderId="77" xfId="6" applyFont="1" applyFill="1" applyBorder="1" applyAlignment="1">
      <alignment horizontal="center" vertical="center" wrapText="1"/>
    </xf>
    <xf numFmtId="0" fontId="81" fillId="3" borderId="12" xfId="6" applyFont="1" applyFill="1" applyBorder="1" applyAlignment="1">
      <alignment horizontal="center" vertical="center" wrapText="1"/>
    </xf>
    <xf numFmtId="0" fontId="80" fillId="3" borderId="87" xfId="6" applyFont="1" applyFill="1" applyBorder="1"/>
    <xf numFmtId="0" fontId="80" fillId="3" borderId="73" xfId="6" applyFont="1" applyFill="1" applyBorder="1"/>
    <xf numFmtId="0" fontId="80" fillId="3" borderId="15" xfId="6" applyFont="1" applyFill="1" applyBorder="1"/>
    <xf numFmtId="0" fontId="80" fillId="3" borderId="62" xfId="6" applyFont="1" applyFill="1" applyBorder="1"/>
    <xf numFmtId="3" fontId="80" fillId="3" borderId="15" xfId="6" applyNumberFormat="1" applyFont="1" applyFill="1" applyBorder="1"/>
    <xf numFmtId="0" fontId="81" fillId="3" borderId="46" xfId="6" applyFont="1" applyFill="1" applyBorder="1" applyAlignment="1">
      <alignment vertical="center"/>
    </xf>
    <xf numFmtId="0" fontId="81" fillId="3" borderId="69" xfId="6" applyFont="1" applyFill="1" applyBorder="1" applyAlignment="1">
      <alignment horizontal="center" vertical="center"/>
    </xf>
    <xf numFmtId="0" fontId="81" fillId="3" borderId="46" xfId="6" applyFont="1" applyFill="1" applyBorder="1" applyAlignment="1">
      <alignment horizontal="center" vertical="center"/>
    </xf>
    <xf numFmtId="3" fontId="81" fillId="3" borderId="46" xfId="6" applyNumberFormat="1" applyFont="1" applyFill="1" applyBorder="1" applyAlignment="1">
      <alignment vertical="center"/>
    </xf>
    <xf numFmtId="0" fontId="70" fillId="3" borderId="0" xfId="0" applyFont="1" applyFill="1"/>
    <xf numFmtId="0" fontId="70" fillId="3" borderId="0" xfId="0" applyFont="1" applyFill="1" applyAlignment="1">
      <alignment horizontal="center"/>
    </xf>
    <xf numFmtId="0" fontId="70" fillId="0" borderId="0" xfId="0" applyFont="1" applyAlignment="1">
      <alignment horizontal="center"/>
    </xf>
    <xf numFmtId="0" fontId="0" fillId="3" borderId="0" xfId="0" applyFill="1"/>
    <xf numFmtId="3" fontId="80" fillId="3" borderId="0" xfId="7" applyNumberFormat="1" applyFont="1" applyFill="1" applyAlignment="1"/>
    <xf numFmtId="3" fontId="80" fillId="3" borderId="0" xfId="7" applyNumberFormat="1" applyFont="1" applyFill="1" applyAlignment="1">
      <alignment horizontal="right"/>
    </xf>
    <xf numFmtId="0" fontId="80" fillId="3" borderId="0" xfId="7" applyFont="1" applyFill="1" applyAlignment="1"/>
    <xf numFmtId="3" fontId="83" fillId="3" borderId="0" xfId="7" applyNumberFormat="1" applyFont="1" applyFill="1" applyAlignment="1"/>
    <xf numFmtId="0" fontId="80" fillId="0" borderId="15" xfId="0" applyFont="1" applyBorder="1" applyAlignment="1">
      <alignment horizontal="left" vertical="top" wrapText="1"/>
    </xf>
    <xf numFmtId="3" fontId="80" fillId="0" borderId="15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49" fontId="80" fillId="0" borderId="58" xfId="9" applyNumberFormat="1" applyFont="1" applyFill="1" applyBorder="1" applyAlignment="1">
      <alignment horizontal="center" vertical="center"/>
    </xf>
    <xf numFmtId="49" fontId="80" fillId="0" borderId="74" xfId="9" applyNumberFormat="1" applyFont="1" applyFill="1" applyBorder="1" applyAlignment="1">
      <alignment horizontal="center" vertical="center"/>
    </xf>
    <xf numFmtId="49" fontId="80" fillId="0" borderId="62" xfId="9" applyNumberFormat="1" applyFont="1" applyFill="1" applyBorder="1" applyAlignment="1">
      <alignment horizontal="center" vertical="center"/>
    </xf>
    <xf numFmtId="3" fontId="26" fillId="0" borderId="15" xfId="9" applyNumberFormat="1" applyFont="1" applyFill="1" applyBorder="1" applyAlignment="1">
      <alignment horizontal="right" vertical="center"/>
    </xf>
    <xf numFmtId="3" fontId="25" fillId="0" borderId="58" xfId="9" applyNumberFormat="1" applyFont="1" applyFill="1" applyBorder="1" applyAlignment="1">
      <alignment horizontal="right" vertical="center"/>
    </xf>
    <xf numFmtId="3" fontId="25" fillId="0" borderId="74" xfId="9" applyNumberFormat="1" applyFont="1" applyFill="1" applyBorder="1" applyAlignment="1">
      <alignment horizontal="right" vertical="center"/>
    </xf>
    <xf numFmtId="3" fontId="25" fillId="0" borderId="62" xfId="9" applyNumberFormat="1" applyFont="1" applyFill="1" applyBorder="1" applyAlignment="1">
      <alignment horizontal="right" vertical="center"/>
    </xf>
    <xf numFmtId="0" fontId="26" fillId="0" borderId="74" xfId="9" applyFont="1" applyFill="1" applyBorder="1" applyAlignment="1">
      <alignment horizontal="left" vertical="center" wrapText="1"/>
    </xf>
    <xf numFmtId="0" fontId="26" fillId="0" borderId="62" xfId="9" applyFont="1" applyFill="1" applyBorder="1" applyAlignment="1">
      <alignment horizontal="left" vertical="center" wrapText="1"/>
    </xf>
    <xf numFmtId="3" fontId="26" fillId="0" borderId="15" xfId="9" applyNumberFormat="1" applyFont="1" applyFill="1" applyBorder="1" applyAlignment="1">
      <alignment horizontal="right" vertical="center" wrapText="1"/>
    </xf>
    <xf numFmtId="3" fontId="25" fillId="0" borderId="15" xfId="9" applyNumberFormat="1" applyFont="1" applyFill="1" applyBorder="1" applyAlignment="1">
      <alignment horizontal="right" vertical="center" wrapText="1"/>
    </xf>
    <xf numFmtId="3" fontId="26" fillId="0" borderId="15" xfId="9" quotePrefix="1" applyNumberFormat="1" applyFont="1" applyFill="1" applyBorder="1" applyAlignment="1">
      <alignment horizontal="right" vertical="center" wrapText="1"/>
    </xf>
    <xf numFmtId="3" fontId="25" fillId="0" borderId="15" xfId="9" applyNumberFormat="1" applyFont="1" applyFill="1" applyBorder="1" applyAlignment="1">
      <alignment horizontal="right" vertical="center"/>
    </xf>
    <xf numFmtId="0" fontId="39" fillId="3" borderId="0" xfId="4" applyFont="1" applyFill="1" applyAlignment="1">
      <alignment horizontal="center"/>
    </xf>
    <xf numFmtId="0" fontId="94" fillId="3" borderId="0" xfId="4" applyFont="1" applyFill="1" applyAlignment="1">
      <alignment horizontal="right"/>
    </xf>
    <xf numFmtId="0" fontId="88" fillId="3" borderId="15" xfId="4" applyFont="1" applyFill="1" applyBorder="1" applyAlignment="1">
      <alignment horizontal="left"/>
    </xf>
    <xf numFmtId="0" fontId="88" fillId="3" borderId="15" xfId="4" applyFont="1" applyFill="1" applyBorder="1" applyAlignment="1"/>
    <xf numFmtId="3" fontId="88" fillId="3" borderId="15" xfId="4" applyNumberFormat="1" applyFont="1" applyFill="1" applyBorder="1" applyAlignment="1"/>
    <xf numFmtId="0" fontId="95" fillId="0" borderId="0" xfId="4" applyFont="1"/>
    <xf numFmtId="0" fontId="39" fillId="0" borderId="0" xfId="4" applyFont="1"/>
    <xf numFmtId="0" fontId="82" fillId="3" borderId="96" xfId="12" applyFont="1" applyFill="1" applyBorder="1" applyAlignment="1">
      <alignment horizontal="center" vertical="top" wrapText="1"/>
    </xf>
    <xf numFmtId="0" fontId="82" fillId="3" borderId="0" xfId="12" applyFont="1" applyFill="1" applyBorder="1" applyAlignment="1">
      <alignment horizontal="left" vertical="top" wrapText="1"/>
    </xf>
    <xf numFmtId="3" fontId="82" fillId="3" borderId="96" xfId="12" applyNumberFormat="1" applyFont="1" applyFill="1" applyBorder="1" applyAlignment="1">
      <alignment horizontal="right" vertical="top" wrapText="1"/>
    </xf>
    <xf numFmtId="3" fontId="82" fillId="3" borderId="0" xfId="12" applyNumberFormat="1" applyFont="1" applyFill="1" applyAlignment="1">
      <alignment horizontal="right" vertical="top" wrapText="1"/>
    </xf>
    <xf numFmtId="0" fontId="0" fillId="0" borderId="97" xfId="0" applyBorder="1"/>
    <xf numFmtId="0" fontId="0" fillId="0" borderId="96" xfId="0" applyBorder="1"/>
    <xf numFmtId="0" fontId="0" fillId="0" borderId="98" xfId="0" applyBorder="1"/>
    <xf numFmtId="0" fontId="0" fillId="0" borderId="99" xfId="0" applyBorder="1"/>
    <xf numFmtId="0" fontId="96" fillId="17" borderId="15" xfId="0" applyFont="1" applyFill="1" applyBorder="1" applyAlignment="1">
      <alignment horizontal="center" vertical="top" wrapText="1"/>
    </xf>
    <xf numFmtId="0" fontId="80" fillId="0" borderId="15" xfId="0" applyFont="1" applyBorder="1" applyAlignment="1">
      <alignment horizontal="center" vertical="top" wrapText="1"/>
    </xf>
    <xf numFmtId="0" fontId="81" fillId="0" borderId="15" xfId="0" applyFont="1" applyBorder="1" applyAlignment="1">
      <alignment horizontal="center" vertical="top" wrapText="1"/>
    </xf>
    <xf numFmtId="0" fontId="81" fillId="0" borderId="15" xfId="0" applyFont="1" applyBorder="1" applyAlignment="1">
      <alignment horizontal="left" vertical="top" wrapText="1"/>
    </xf>
    <xf numFmtId="3" fontId="81" fillId="0" borderId="15" xfId="0" applyNumberFormat="1" applyFont="1" applyBorder="1" applyAlignment="1">
      <alignment horizontal="right" vertical="top" wrapText="1"/>
    </xf>
    <xf numFmtId="0" fontId="71" fillId="17" borderId="15" xfId="0" applyFont="1" applyFill="1" applyBorder="1" applyAlignment="1">
      <alignment horizontal="center" vertical="top" wrapText="1"/>
    </xf>
    <xf numFmtId="0" fontId="71" fillId="0" borderId="15" xfId="0" applyFont="1" applyBorder="1" applyAlignment="1">
      <alignment horizontal="center" vertical="top" wrapText="1"/>
    </xf>
    <xf numFmtId="3" fontId="71" fillId="0" borderId="15" xfId="0" applyNumberFormat="1" applyFont="1" applyBorder="1" applyAlignment="1">
      <alignment horizontal="right" vertical="top" wrapText="1"/>
    </xf>
    <xf numFmtId="0" fontId="97" fillId="0" borderId="15" xfId="0" applyFont="1" applyBorder="1" applyAlignment="1">
      <alignment horizontal="center" vertical="top" wrapText="1"/>
    </xf>
    <xf numFmtId="0" fontId="97" fillId="0" borderId="15" xfId="0" applyFont="1" applyBorder="1" applyAlignment="1">
      <alignment horizontal="left" vertical="top" wrapText="1"/>
    </xf>
    <xf numFmtId="3" fontId="97" fillId="0" borderId="15" xfId="0" applyNumberFormat="1" applyFont="1" applyBorder="1" applyAlignment="1">
      <alignment horizontal="right" vertical="top" wrapText="1"/>
    </xf>
    <xf numFmtId="0" fontId="97" fillId="17" borderId="15" xfId="0" applyFont="1" applyFill="1" applyBorder="1" applyAlignment="1">
      <alignment horizontal="center" vertical="top" wrapText="1"/>
    </xf>
    <xf numFmtId="0" fontId="26" fillId="3" borderId="0" xfId="0" applyFont="1" applyFill="1" applyAlignment="1">
      <alignment vertical="center" shrinkToFit="1"/>
    </xf>
    <xf numFmtId="0" fontId="98" fillId="0" borderId="0" xfId="0" applyFont="1" applyAlignment="1">
      <alignment wrapText="1"/>
    </xf>
    <xf numFmtId="0" fontId="99" fillId="0" borderId="0" xfId="0" applyFont="1" applyAlignment="1">
      <alignment wrapText="1"/>
    </xf>
    <xf numFmtId="0" fontId="100" fillId="0" borderId="82" xfId="0" applyFont="1" applyFill="1" applyBorder="1" applyAlignment="1">
      <alignment wrapText="1"/>
    </xf>
    <xf numFmtId="41" fontId="23" fillId="0" borderId="46" xfId="0" applyNumberFormat="1" applyFont="1" applyBorder="1"/>
    <xf numFmtId="41" fontId="24" fillId="0" borderId="47" xfId="0" applyNumberFormat="1" applyFont="1" applyBorder="1"/>
    <xf numFmtId="0" fontId="0" fillId="0" borderId="0" xfId="0" applyBorder="1"/>
    <xf numFmtId="0" fontId="26" fillId="3" borderId="1" xfId="0" applyFont="1" applyFill="1" applyBorder="1" applyAlignment="1">
      <alignment vertical="center" shrinkToFit="1"/>
    </xf>
    <xf numFmtId="0" fontId="26" fillId="3" borderId="0" xfId="0" applyFont="1" applyFill="1" applyBorder="1" applyAlignment="1">
      <alignment vertical="center" shrinkToFit="1"/>
    </xf>
    <xf numFmtId="0" fontId="26" fillId="3" borderId="103" xfId="0" applyFont="1" applyFill="1" applyBorder="1" applyAlignment="1">
      <alignment vertical="center" shrinkToFit="1"/>
    </xf>
    <xf numFmtId="0" fontId="25" fillId="3" borderId="0" xfId="0" applyFont="1" applyFill="1" applyBorder="1" applyAlignment="1">
      <alignment vertical="center" shrinkToFit="1"/>
    </xf>
    <xf numFmtId="41" fontId="100" fillId="0" borderId="15" xfId="0" applyNumberFormat="1" applyFont="1" applyBorder="1" applyAlignment="1">
      <alignment wrapText="1"/>
    </xf>
    <xf numFmtId="41" fontId="23" fillId="0" borderId="15" xfId="0" applyNumberFormat="1" applyFont="1" applyBorder="1"/>
    <xf numFmtId="41" fontId="101" fillId="0" borderId="15" xfId="0" applyNumberFormat="1" applyFont="1" applyBorder="1" applyAlignment="1">
      <alignment wrapText="1"/>
    </xf>
    <xf numFmtId="0" fontId="101" fillId="0" borderId="15" xfId="0" applyFont="1" applyBorder="1" applyAlignment="1">
      <alignment wrapText="1"/>
    </xf>
    <xf numFmtId="0" fontId="101" fillId="0" borderId="13" xfId="0" applyFont="1" applyBorder="1" applyAlignment="1">
      <alignment wrapText="1"/>
    </xf>
    <xf numFmtId="0" fontId="23" fillId="0" borderId="13" xfId="0" applyFont="1" applyBorder="1"/>
    <xf numFmtId="3" fontId="23" fillId="0" borderId="55" xfId="0" applyNumberFormat="1" applyFont="1" applyBorder="1"/>
    <xf numFmtId="41" fontId="24" fillId="0" borderId="53" xfId="0" applyNumberFormat="1" applyFont="1" applyBorder="1"/>
    <xf numFmtId="41" fontId="101" fillId="0" borderId="16" xfId="0" applyNumberFormat="1" applyFont="1" applyBorder="1" applyAlignment="1">
      <alignment wrapText="1"/>
    </xf>
    <xf numFmtId="41" fontId="23" fillId="0" borderId="16" xfId="0" applyNumberFormat="1" applyFont="1" applyBorder="1"/>
    <xf numFmtId="41" fontId="24" fillId="0" borderId="54" xfId="0" applyNumberFormat="1" applyFont="1" applyBorder="1"/>
    <xf numFmtId="41" fontId="101" fillId="0" borderId="44" xfId="0" applyNumberFormat="1" applyFont="1" applyBorder="1" applyAlignment="1">
      <alignment wrapText="1"/>
    </xf>
    <xf numFmtId="0" fontId="100" fillId="0" borderId="68" xfId="0" applyFont="1" applyBorder="1" applyAlignment="1">
      <alignment wrapText="1"/>
    </xf>
    <xf numFmtId="0" fontId="100" fillId="0" borderId="68" xfId="0" applyFont="1" applyFill="1" applyBorder="1" applyAlignment="1">
      <alignment wrapText="1"/>
    </xf>
    <xf numFmtId="0" fontId="100" fillId="0" borderId="82" xfId="0" applyFont="1" applyBorder="1" applyAlignment="1">
      <alignment wrapText="1"/>
    </xf>
    <xf numFmtId="3" fontId="48" fillId="12" borderId="72" xfId="2" quotePrefix="1" applyNumberFormat="1" applyFont="1" applyFill="1" applyBorder="1" applyAlignment="1">
      <alignment horizontal="center" vertical="center"/>
    </xf>
    <xf numFmtId="3" fontId="48" fillId="12" borderId="15" xfId="2" quotePrefix="1" applyNumberFormat="1" applyFont="1" applyFill="1" applyBorder="1" applyAlignment="1">
      <alignment horizontal="center" vertical="center"/>
    </xf>
    <xf numFmtId="3" fontId="35" fillId="8" borderId="6" xfId="0" applyNumberFormat="1" applyFont="1" applyFill="1" applyBorder="1" applyAlignment="1">
      <alignment vertical="center" wrapText="1"/>
    </xf>
    <xf numFmtId="3" fontId="23" fillId="10" borderId="16" xfId="0" applyNumberFormat="1" applyFont="1" applyFill="1" applyBorder="1" applyAlignment="1">
      <alignment horizontal="right" vertical="center"/>
    </xf>
    <xf numFmtId="3" fontId="48" fillId="10" borderId="15" xfId="2" applyNumberFormat="1" applyFont="1" applyFill="1" applyBorder="1" applyAlignment="1">
      <alignment horizontal="left" vertical="center" indent="2"/>
    </xf>
    <xf numFmtId="3" fontId="45" fillId="12" borderId="15" xfId="0" applyNumberFormat="1" applyFont="1" applyFill="1" applyBorder="1" applyAlignment="1">
      <alignment vertical="center"/>
    </xf>
    <xf numFmtId="3" fontId="27" fillId="12" borderId="15" xfId="2" applyNumberFormat="1" applyFont="1" applyFill="1" applyBorder="1" applyAlignment="1">
      <alignment horizontal="left" vertical="center" indent="2"/>
    </xf>
    <xf numFmtId="3" fontId="10" fillId="12" borderId="0" xfId="0" applyNumberFormat="1" applyFont="1" applyFill="1" applyAlignment="1">
      <alignment vertical="center"/>
    </xf>
    <xf numFmtId="3" fontId="48" fillId="12" borderId="15" xfId="2" applyNumberFormat="1" applyFont="1" applyFill="1" applyBorder="1" applyAlignment="1">
      <alignment horizontal="left" vertical="center" indent="2"/>
    </xf>
    <xf numFmtId="3" fontId="10" fillId="12" borderId="15" xfId="2" applyNumberFormat="1" applyFont="1" applyFill="1" applyBorder="1" applyAlignment="1">
      <alignment horizontal="left" vertical="center" indent="2"/>
    </xf>
    <xf numFmtId="3" fontId="51" fillId="8" borderId="15" xfId="2" quotePrefix="1" applyNumberFormat="1" applyFont="1" applyFill="1" applyBorder="1" applyAlignment="1">
      <alignment horizontal="center" vertical="center"/>
    </xf>
    <xf numFmtId="3" fontId="51" fillId="3" borderId="15" xfId="2" quotePrefix="1" applyNumberFormat="1" applyFont="1" applyFill="1" applyBorder="1" applyAlignment="1">
      <alignment horizontal="center" vertical="center"/>
    </xf>
    <xf numFmtId="3" fontId="51" fillId="8" borderId="62" xfId="2" quotePrefix="1" applyNumberFormat="1" applyFont="1" applyFill="1" applyBorder="1" applyAlignment="1">
      <alignment horizontal="center" vertical="center"/>
    </xf>
    <xf numFmtId="3" fontId="27" fillId="8" borderId="24" xfId="2" applyNumberFormat="1" applyFont="1" applyFill="1" applyBorder="1" applyAlignment="1">
      <alignment horizontal="left" vertical="center" indent="2"/>
    </xf>
    <xf numFmtId="3" fontId="48" fillId="8" borderId="29" xfId="2" applyNumberFormat="1" applyFont="1" applyFill="1" applyBorder="1" applyAlignment="1">
      <alignment horizontal="left" vertical="center" indent="2"/>
    </xf>
    <xf numFmtId="3" fontId="35" fillId="8" borderId="15" xfId="0" applyNumberFormat="1" applyFont="1" applyFill="1" applyBorder="1" applyAlignment="1">
      <alignment vertical="center"/>
    </xf>
    <xf numFmtId="3" fontId="24" fillId="18" borderId="15" xfId="0" applyNumberFormat="1" applyFont="1" applyFill="1" applyBorder="1" applyAlignment="1">
      <alignment horizontal="right" vertical="center"/>
    </xf>
    <xf numFmtId="3" fontId="24" fillId="12" borderId="15" xfId="0" applyNumberFormat="1" applyFont="1" applyFill="1" applyBorder="1" applyAlignment="1">
      <alignment horizontal="right" vertical="center"/>
    </xf>
    <xf numFmtId="3" fontId="23" fillId="8" borderId="15" xfId="0" applyNumberFormat="1" applyFont="1" applyFill="1" applyBorder="1" applyAlignment="1">
      <alignment horizontal="right" vertical="center"/>
    </xf>
    <xf numFmtId="3" fontId="23" fillId="3" borderId="15" xfId="0" applyNumberFormat="1" applyFont="1" applyFill="1" applyBorder="1" applyAlignment="1">
      <alignment horizontal="right" vertical="center"/>
    </xf>
    <xf numFmtId="0" fontId="11" fillId="0" borderId="9" xfId="0" applyFont="1" applyBorder="1" applyAlignment="1">
      <alignment vertical="center" wrapText="1"/>
    </xf>
    <xf numFmtId="3" fontId="0" fillId="0" borderId="0" xfId="0" applyNumberForma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/>
    <xf numFmtId="3" fontId="11" fillId="3" borderId="15" xfId="0" applyNumberFormat="1" applyFont="1" applyFill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3" fontId="104" fillId="8" borderId="15" xfId="0" applyNumberFormat="1" applyFont="1" applyFill="1" applyBorder="1" applyAlignment="1">
      <alignment horizontal="right" vertical="center"/>
    </xf>
    <xf numFmtId="3" fontId="27" fillId="0" borderId="15" xfId="0" applyNumberFormat="1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vertical="center"/>
    </xf>
    <xf numFmtId="3" fontId="24" fillId="3" borderId="16" xfId="0" applyNumberFormat="1" applyFont="1" applyFill="1" applyBorder="1" applyAlignment="1">
      <alignment horizontal="right" vertical="center"/>
    </xf>
    <xf numFmtId="3" fontId="23" fillId="8" borderId="15" xfId="0" applyNumberFormat="1" applyFont="1" applyFill="1" applyBorder="1" applyAlignment="1">
      <alignment horizontal="left" vertical="center"/>
    </xf>
    <xf numFmtId="3" fontId="27" fillId="8" borderId="15" xfId="2" applyNumberFormat="1" applyFont="1" applyFill="1" applyBorder="1" applyAlignment="1">
      <alignment horizontal="left" vertical="center" indent="2"/>
    </xf>
    <xf numFmtId="3" fontId="48" fillId="8" borderId="15" xfId="2" applyNumberFormat="1" applyFont="1" applyFill="1" applyBorder="1" applyAlignment="1">
      <alignment horizontal="left" vertical="center" indent="2"/>
    </xf>
    <xf numFmtId="3" fontId="23" fillId="8" borderId="15" xfId="0" applyNumberFormat="1" applyFont="1" applyFill="1" applyBorder="1" applyAlignment="1">
      <alignment vertical="center"/>
    </xf>
    <xf numFmtId="3" fontId="23" fillId="3" borderId="15" xfId="0" applyNumberFormat="1" applyFont="1" applyFill="1" applyBorder="1" applyAlignment="1">
      <alignment horizontal="left" vertical="center"/>
    </xf>
    <xf numFmtId="3" fontId="51" fillId="3" borderId="16" xfId="2" quotePrefix="1" applyNumberFormat="1" applyFont="1" applyFill="1" applyBorder="1" applyAlignment="1">
      <alignment horizontal="center" vertical="center"/>
    </xf>
    <xf numFmtId="3" fontId="23" fillId="3" borderId="16" xfId="0" applyNumberFormat="1" applyFont="1" applyFill="1" applyBorder="1" applyAlignment="1">
      <alignment horizontal="right" vertical="center"/>
    </xf>
    <xf numFmtId="0" fontId="23" fillId="8" borderId="15" xfId="0" applyFont="1" applyFill="1" applyBorder="1"/>
    <xf numFmtId="3" fontId="17" fillId="0" borderId="15" xfId="0" applyNumberFormat="1" applyFont="1" applyBorder="1"/>
    <xf numFmtId="3" fontId="29" fillId="5" borderId="1" xfId="0" applyNumberFormat="1" applyFont="1" applyFill="1" applyBorder="1" applyAlignment="1">
      <alignment horizontal="center" vertical="center"/>
    </xf>
    <xf numFmtId="3" fontId="29" fillId="5" borderId="0" xfId="0" applyNumberFormat="1" applyFont="1" applyFill="1" applyBorder="1" applyAlignment="1">
      <alignment horizontal="center" vertical="center"/>
    </xf>
    <xf numFmtId="3" fontId="11" fillId="5" borderId="22" xfId="0" applyNumberFormat="1" applyFont="1" applyFill="1" applyBorder="1" applyAlignment="1">
      <alignment horizontal="center" vertical="center"/>
    </xf>
    <xf numFmtId="3" fontId="11" fillId="3" borderId="16" xfId="0" applyNumberFormat="1" applyFont="1" applyFill="1" applyBorder="1" applyAlignment="1">
      <alignment vertical="center"/>
    </xf>
    <xf numFmtId="3" fontId="11" fillId="3" borderId="9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11" fillId="8" borderId="15" xfId="0" applyNumberFormat="1" applyFont="1" applyFill="1" applyBorder="1" applyAlignment="1">
      <alignment horizontal="center" vertical="center"/>
    </xf>
    <xf numFmtId="3" fontId="51" fillId="19" borderId="15" xfId="2" quotePrefix="1" applyNumberFormat="1" applyFont="1" applyFill="1" applyBorder="1" applyAlignment="1">
      <alignment horizontal="center" vertical="center"/>
    </xf>
    <xf numFmtId="3" fontId="27" fillId="19" borderId="58" xfId="2" applyNumberFormat="1" applyFont="1" applyFill="1" applyBorder="1" applyAlignment="1">
      <alignment horizontal="left" vertical="center" indent="2"/>
    </xf>
    <xf numFmtId="3" fontId="48" fillId="19" borderId="72" xfId="2" applyNumberFormat="1" applyFont="1" applyFill="1" applyBorder="1" applyAlignment="1">
      <alignment horizontal="left" vertical="center" indent="2"/>
    </xf>
    <xf numFmtId="3" fontId="24" fillId="8" borderId="15" xfId="0" applyNumberFormat="1" applyFont="1" applyFill="1" applyBorder="1" applyAlignment="1">
      <alignment horizontal="right" vertical="center"/>
    </xf>
    <xf numFmtId="3" fontId="104" fillId="3" borderId="15" xfId="0" applyNumberFormat="1" applyFont="1" applyFill="1" applyBorder="1" applyAlignment="1">
      <alignment horizontal="left" vertical="center"/>
    </xf>
    <xf numFmtId="3" fontId="24" fillId="3" borderId="15" xfId="0" quotePrefix="1" applyNumberFormat="1" applyFont="1" applyFill="1" applyBorder="1" applyAlignment="1">
      <alignment horizontal="left" vertical="center" indent="1"/>
    </xf>
    <xf numFmtId="3" fontId="30" fillId="3" borderId="15" xfId="0" applyNumberFormat="1" applyFont="1" applyFill="1" applyBorder="1" applyAlignment="1">
      <alignment horizontal="right" vertical="center"/>
    </xf>
    <xf numFmtId="3" fontId="23" fillId="3" borderId="15" xfId="0" quotePrefix="1" applyNumberFormat="1" applyFont="1" applyFill="1" applyBorder="1" applyAlignment="1">
      <alignment horizontal="left" vertical="center" indent="1"/>
    </xf>
    <xf numFmtId="3" fontId="23" fillId="3" borderId="15" xfId="0" applyNumberFormat="1" applyFont="1" applyFill="1" applyBorder="1" applyAlignment="1">
      <alignment vertical="center"/>
    </xf>
    <xf numFmtId="3" fontId="23" fillId="3" borderId="15" xfId="0" applyNumberFormat="1" applyFont="1" applyFill="1" applyBorder="1" applyAlignment="1">
      <alignment vertical="center" wrapText="1"/>
    </xf>
    <xf numFmtId="3" fontId="23" fillId="3" borderId="15" xfId="3" applyNumberFormat="1" applyFont="1" applyFill="1" applyBorder="1" applyAlignment="1">
      <alignment horizontal="left" vertical="center" wrapText="1"/>
    </xf>
    <xf numFmtId="3" fontId="68" fillId="8" borderId="15" xfId="2" quotePrefix="1" applyNumberFormat="1" applyFont="1" applyFill="1" applyBorder="1" applyAlignment="1">
      <alignment horizontal="center" vertical="center"/>
    </xf>
    <xf numFmtId="3" fontId="24" fillId="20" borderId="15" xfId="0" applyNumberFormat="1" applyFont="1" applyFill="1" applyBorder="1" applyAlignment="1">
      <alignment horizontal="right" vertical="center"/>
    </xf>
    <xf numFmtId="3" fontId="48" fillId="20" borderId="15" xfId="2" quotePrefix="1" applyNumberFormat="1" applyFont="1" applyFill="1" applyBorder="1" applyAlignment="1">
      <alignment horizontal="center" vertical="center"/>
    </xf>
    <xf numFmtId="3" fontId="24" fillId="20" borderId="16" xfId="0" applyNumberFormat="1" applyFont="1" applyFill="1" applyBorder="1" applyAlignment="1">
      <alignment horizontal="right" vertical="center"/>
    </xf>
    <xf numFmtId="3" fontId="48" fillId="20" borderId="16" xfId="2" quotePrefix="1" applyNumberFormat="1" applyFont="1" applyFill="1" applyBorder="1" applyAlignment="1">
      <alignment horizontal="center" vertical="center"/>
    </xf>
    <xf numFmtId="3" fontId="24" fillId="20" borderId="13" xfId="0" applyNumberFormat="1" applyFont="1" applyFill="1" applyBorder="1" applyAlignment="1">
      <alignment horizontal="right" vertical="center"/>
    </xf>
    <xf numFmtId="3" fontId="48" fillId="20" borderId="13" xfId="2" quotePrefix="1" applyNumberFormat="1" applyFont="1" applyFill="1" applyBorder="1" applyAlignment="1">
      <alignment horizontal="center" vertical="center"/>
    </xf>
    <xf numFmtId="3" fontId="24" fillId="20" borderId="104" xfId="0" applyNumberFormat="1" applyFont="1" applyFill="1" applyBorder="1" applyAlignment="1">
      <alignment horizontal="right" vertical="center"/>
    </xf>
    <xf numFmtId="3" fontId="24" fillId="20" borderId="105" xfId="0" applyNumberFormat="1" applyFont="1" applyFill="1" applyBorder="1" applyAlignment="1">
      <alignment horizontal="right" vertical="center"/>
    </xf>
    <xf numFmtId="3" fontId="24" fillId="20" borderId="106" xfId="0" applyNumberFormat="1" applyFont="1" applyFill="1" applyBorder="1" applyAlignment="1">
      <alignment horizontal="right"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13" xfId="0" applyNumberFormat="1" applyFont="1" applyFill="1" applyBorder="1" applyAlignment="1">
      <alignment horizontal="right" vertical="center"/>
    </xf>
    <xf numFmtId="3" fontId="24" fillId="12" borderId="108" xfId="0" applyNumberFormat="1" applyFont="1" applyFill="1" applyBorder="1" applyAlignment="1">
      <alignment horizontal="right" vertical="center"/>
    </xf>
    <xf numFmtId="3" fontId="24" fillId="12" borderId="109" xfId="0" applyNumberFormat="1" applyFont="1" applyFill="1" applyBorder="1" applyAlignment="1">
      <alignment horizontal="right" vertical="center"/>
    </xf>
    <xf numFmtId="3" fontId="24" fillId="12" borderId="111" xfId="0" applyNumberFormat="1" applyFont="1" applyFill="1" applyBorder="1" applyAlignment="1">
      <alignment horizontal="right" vertical="center"/>
    </xf>
    <xf numFmtId="3" fontId="48" fillId="12" borderId="113" xfId="2" quotePrefix="1" applyNumberFormat="1" applyFont="1" applyFill="1" applyBorder="1" applyAlignment="1">
      <alignment horizontal="center" vertical="center"/>
    </xf>
    <xf numFmtId="3" fontId="24" fillId="12" borderId="113" xfId="0" applyNumberFormat="1" applyFont="1" applyFill="1" applyBorder="1" applyAlignment="1">
      <alignment horizontal="right" vertical="center"/>
    </xf>
    <xf numFmtId="3" fontId="24" fillId="12" borderId="114" xfId="0" applyNumberFormat="1" applyFont="1" applyFill="1" applyBorder="1" applyAlignment="1">
      <alignment horizontal="right" vertical="center"/>
    </xf>
    <xf numFmtId="3" fontId="68" fillId="8" borderId="16" xfId="2" quotePrefix="1" applyNumberFormat="1" applyFont="1" applyFill="1" applyBorder="1" applyAlignment="1">
      <alignment horizontal="center" vertical="center"/>
    </xf>
    <xf numFmtId="3" fontId="104" fillId="8" borderId="16" xfId="0" applyNumberFormat="1" applyFont="1" applyFill="1" applyBorder="1" applyAlignment="1">
      <alignment horizontal="right" vertical="center"/>
    </xf>
    <xf numFmtId="3" fontId="24" fillId="3" borderId="13" xfId="0" quotePrefix="1" applyNumberFormat="1" applyFont="1" applyFill="1" applyBorder="1" applyAlignment="1">
      <alignment horizontal="left" vertical="center" indent="1"/>
    </xf>
    <xf numFmtId="3" fontId="48" fillId="12" borderId="16" xfId="2" quotePrefix="1" applyNumberFormat="1" applyFont="1" applyFill="1" applyBorder="1" applyAlignment="1">
      <alignment horizontal="center" vertical="center"/>
    </xf>
    <xf numFmtId="3" fontId="45" fillId="12" borderId="16" xfId="0" applyNumberFormat="1" applyFont="1" applyFill="1" applyBorder="1" applyAlignment="1">
      <alignment vertical="center"/>
    </xf>
    <xf numFmtId="3" fontId="104" fillId="8" borderId="13" xfId="0" applyNumberFormat="1" applyFont="1" applyFill="1" applyBorder="1" applyAlignment="1">
      <alignment horizontal="right" vertical="center"/>
    </xf>
    <xf numFmtId="3" fontId="55" fillId="5" borderId="115" xfId="0" applyNumberFormat="1" applyFont="1" applyFill="1" applyBorder="1" applyAlignment="1">
      <alignment horizontal="center" vertical="center"/>
    </xf>
    <xf numFmtId="3" fontId="55" fillId="5" borderId="116" xfId="0" applyNumberFormat="1" applyFont="1" applyFill="1" applyBorder="1" applyAlignment="1">
      <alignment horizontal="center" vertical="center"/>
    </xf>
    <xf numFmtId="3" fontId="56" fillId="5" borderId="116" xfId="0" applyNumberFormat="1" applyFont="1" applyFill="1" applyBorder="1" applyAlignment="1">
      <alignment horizontal="center" vertical="center"/>
    </xf>
    <xf numFmtId="3" fontId="102" fillId="5" borderId="116" xfId="2" applyNumberFormat="1" applyFont="1" applyFill="1" applyBorder="1" applyAlignment="1">
      <alignment horizontal="center" vertical="center"/>
    </xf>
    <xf numFmtId="3" fontId="102" fillId="5" borderId="116" xfId="0" applyNumberFormat="1" applyFont="1" applyFill="1" applyBorder="1" applyAlignment="1">
      <alignment vertical="center"/>
    </xf>
    <xf numFmtId="3" fontId="103" fillId="5" borderId="117" xfId="0" applyNumberFormat="1" applyFont="1" applyFill="1" applyBorder="1" applyAlignment="1">
      <alignment horizontal="right" vertical="center"/>
    </xf>
    <xf numFmtId="3" fontId="48" fillId="8" borderId="15" xfId="2" quotePrefix="1" applyNumberFormat="1" applyFont="1" applyFill="1" applyBorder="1" applyAlignment="1">
      <alignment horizontal="center" vertical="center"/>
    </xf>
    <xf numFmtId="0" fontId="30" fillId="0" borderId="15" xfId="0" applyFont="1" applyBorder="1"/>
    <xf numFmtId="3" fontId="23" fillId="0" borderId="15" xfId="0" applyNumberFormat="1" applyFont="1" applyFill="1" applyBorder="1" applyAlignment="1">
      <alignment horizontal="right" vertical="center"/>
    </xf>
    <xf numFmtId="3" fontId="24" fillId="0" borderId="15" xfId="0" applyNumberFormat="1" applyFont="1" applyFill="1" applyBorder="1" applyAlignment="1">
      <alignment horizontal="right" vertical="center"/>
    </xf>
    <xf numFmtId="3" fontId="24" fillId="0" borderId="15" xfId="0" applyNumberFormat="1" applyFont="1" applyFill="1" applyBorder="1" applyAlignment="1">
      <alignment horizontal="left" vertical="top" readingOrder="1"/>
    </xf>
    <xf numFmtId="3" fontId="23" fillId="0" borderId="15" xfId="2" quotePrefix="1" applyNumberFormat="1" applyFont="1" applyFill="1" applyBorder="1" applyAlignment="1">
      <alignment horizontal="center" vertical="center"/>
    </xf>
    <xf numFmtId="3" fontId="23" fillId="0" borderId="15" xfId="0" applyNumberFormat="1" applyFont="1" applyFill="1" applyBorder="1" applyAlignment="1">
      <alignment horizontal="left" vertical="center"/>
    </xf>
    <xf numFmtId="3" fontId="23" fillId="0" borderId="15" xfId="0" applyNumberFormat="1" applyFont="1" applyFill="1" applyBorder="1" applyAlignment="1">
      <alignment vertical="center"/>
    </xf>
    <xf numFmtId="3" fontId="11" fillId="0" borderId="15" xfId="0" applyNumberFormat="1" applyFont="1" applyFill="1" applyBorder="1" applyAlignment="1">
      <alignment horizontal="center" vertical="center"/>
    </xf>
    <xf numFmtId="3" fontId="24" fillId="15" borderId="15" xfId="0" applyNumberFormat="1" applyFont="1" applyFill="1" applyBorder="1" applyAlignment="1">
      <alignment horizontal="right" vertical="center"/>
    </xf>
    <xf numFmtId="3" fontId="23" fillId="15" borderId="15" xfId="0" applyNumberFormat="1" applyFont="1" applyFill="1" applyBorder="1" applyAlignment="1">
      <alignment horizontal="right" vertical="center"/>
    </xf>
    <xf numFmtId="3" fontId="103" fillId="0" borderId="15" xfId="0" applyNumberFormat="1" applyFont="1" applyFill="1" applyBorder="1" applyAlignment="1">
      <alignment horizontal="left" vertical="center"/>
    </xf>
    <xf numFmtId="3" fontId="8" fillId="0" borderId="15" xfId="0" applyNumberFormat="1" applyFont="1" applyFill="1" applyBorder="1" applyAlignment="1">
      <alignment vertical="center"/>
    </xf>
    <xf numFmtId="3" fontId="35" fillId="3" borderId="15" xfId="0" applyNumberFormat="1" applyFont="1" applyFill="1" applyBorder="1" applyAlignment="1">
      <alignment vertical="center" wrapText="1"/>
    </xf>
    <xf numFmtId="3" fontId="23" fillId="3" borderId="15" xfId="2" quotePrefix="1" applyNumberFormat="1" applyFont="1" applyFill="1" applyBorder="1" applyAlignment="1">
      <alignment horizontal="center" vertical="center"/>
    </xf>
    <xf numFmtId="3" fontId="35" fillId="0" borderId="15" xfId="0" applyNumberFormat="1" applyFont="1" applyFill="1" applyBorder="1" applyAlignment="1">
      <alignment vertical="center" wrapText="1"/>
    </xf>
    <xf numFmtId="3" fontId="13" fillId="3" borderId="15" xfId="0" applyNumberFormat="1" applyFont="1" applyFill="1" applyBorder="1" applyAlignment="1">
      <alignment horizontal="center" vertical="center"/>
    </xf>
    <xf numFmtId="3" fontId="24" fillId="3" borderId="15" xfId="0" applyNumberFormat="1" applyFont="1" applyFill="1" applyBorder="1" applyAlignment="1">
      <alignment vertical="center"/>
    </xf>
    <xf numFmtId="0" fontId="24" fillId="3" borderId="15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left" vertical="center" wrapText="1"/>
    </xf>
    <xf numFmtId="3" fontId="24" fillId="0" borderId="15" xfId="2" quotePrefix="1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vertical="center"/>
    </xf>
    <xf numFmtId="3" fontId="35" fillId="3" borderId="16" xfId="0" applyNumberFormat="1" applyFont="1" applyFill="1" applyBorder="1" applyAlignment="1">
      <alignment vertical="center"/>
    </xf>
    <xf numFmtId="3" fontId="35" fillId="3" borderId="13" xfId="0" applyNumberFormat="1" applyFont="1" applyFill="1" applyBorder="1" applyAlignment="1">
      <alignment vertical="center"/>
    </xf>
    <xf numFmtId="3" fontId="21" fillId="3" borderId="15" xfId="0" applyNumberFormat="1" applyFont="1" applyFill="1" applyBorder="1" applyAlignment="1">
      <alignment horizontal="center" vertical="center"/>
    </xf>
    <xf numFmtId="3" fontId="24" fillId="5" borderId="15" xfId="0" applyNumberFormat="1" applyFont="1" applyFill="1" applyBorder="1" applyAlignment="1">
      <alignment horizontal="right" vertical="center"/>
    </xf>
    <xf numFmtId="3" fontId="13" fillId="5" borderId="15" xfId="0" applyNumberFormat="1" applyFont="1" applyFill="1" applyBorder="1" applyAlignment="1">
      <alignment horizontal="center" vertical="center"/>
    </xf>
    <xf numFmtId="3" fontId="23" fillId="5" borderId="15" xfId="2" quotePrefix="1" applyNumberFormat="1" applyFont="1" applyFill="1" applyBorder="1" applyAlignment="1">
      <alignment horizontal="center" vertical="center"/>
    </xf>
    <xf numFmtId="3" fontId="24" fillId="6" borderId="15" xfId="0" applyNumberFormat="1" applyFont="1" applyFill="1" applyBorder="1" applyAlignment="1">
      <alignment horizontal="right" vertical="center"/>
    </xf>
    <xf numFmtId="3" fontId="23" fillId="6" borderId="15" xfId="2" quotePrefix="1" applyNumberFormat="1" applyFont="1" applyFill="1" applyBorder="1" applyAlignment="1">
      <alignment horizontal="center" vertical="center"/>
    </xf>
    <xf numFmtId="3" fontId="24" fillId="18" borderId="15" xfId="0" applyNumberFormat="1" applyFont="1" applyFill="1" applyBorder="1" applyAlignment="1">
      <alignment horizontal="center" vertical="center"/>
    </xf>
    <xf numFmtId="3" fontId="23" fillId="18" borderId="15" xfId="2" quotePrefix="1" applyNumberFormat="1" applyFont="1" applyFill="1" applyBorder="1" applyAlignment="1">
      <alignment horizontal="center" vertical="center"/>
    </xf>
    <xf numFmtId="3" fontId="21" fillId="6" borderId="15" xfId="0" applyNumberFormat="1" applyFont="1" applyFill="1" applyBorder="1" applyAlignment="1">
      <alignment horizontal="center" vertical="center"/>
    </xf>
    <xf numFmtId="3" fontId="23" fillId="6" borderId="15" xfId="0" applyNumberFormat="1" applyFont="1" applyFill="1" applyBorder="1" applyAlignment="1">
      <alignment horizontal="right" vertical="center"/>
    </xf>
    <xf numFmtId="3" fontId="35" fillId="6" borderId="15" xfId="0" applyNumberFormat="1" applyFont="1" applyFill="1" applyBorder="1" applyAlignment="1">
      <alignment horizontal="center" vertical="center"/>
    </xf>
    <xf numFmtId="3" fontId="23" fillId="2" borderId="9" xfId="0" applyNumberFormat="1" applyFont="1" applyFill="1" applyBorder="1" applyAlignment="1">
      <alignment horizontal="right" shrinkToFit="1"/>
    </xf>
    <xf numFmtId="3" fontId="24" fillId="2" borderId="3" xfId="0" applyNumberFormat="1" applyFont="1" applyFill="1" applyBorder="1" applyAlignment="1">
      <alignment horizontal="right" shrinkToFit="1"/>
    </xf>
    <xf numFmtId="0" fontId="24" fillId="0" borderId="119" xfId="0" applyFont="1" applyFill="1" applyBorder="1" applyAlignment="1">
      <alignment shrinkToFit="1"/>
    </xf>
    <xf numFmtId="0" fontId="24" fillId="0" borderId="38" xfId="0" applyFont="1" applyFill="1" applyBorder="1" applyAlignment="1">
      <alignment shrinkToFit="1"/>
    </xf>
    <xf numFmtId="0" fontId="24" fillId="0" borderId="120" xfId="0" applyFont="1" applyFill="1" applyBorder="1" applyAlignment="1">
      <alignment shrinkToFit="1"/>
    </xf>
    <xf numFmtId="2" fontId="23" fillId="0" borderId="15" xfId="0" applyNumberFormat="1" applyFont="1" applyFill="1" applyBorder="1" applyAlignment="1">
      <alignment shrinkToFit="1"/>
    </xf>
    <xf numFmtId="0" fontId="70" fillId="3" borderId="52" xfId="0" applyFont="1" applyFill="1" applyBorder="1" applyAlignment="1">
      <alignment horizontal="center" vertical="center"/>
    </xf>
    <xf numFmtId="0" fontId="70" fillId="3" borderId="61" xfId="0" applyFont="1" applyFill="1" applyBorder="1" applyAlignment="1">
      <alignment horizontal="center" vertical="center"/>
    </xf>
    <xf numFmtId="0" fontId="71" fillId="0" borderId="0" xfId="4" applyFont="1"/>
    <xf numFmtId="0" fontId="71" fillId="0" borderId="0" xfId="4" applyFont="1" applyAlignment="1">
      <alignment vertical="center"/>
    </xf>
    <xf numFmtId="0" fontId="105" fillId="0" borderId="0" xfId="4" applyFont="1"/>
    <xf numFmtId="0" fontId="106" fillId="0" borderId="0" xfId="0" applyFont="1" applyAlignment="1">
      <alignment horizontal="right" vertical="top"/>
    </xf>
    <xf numFmtId="0" fontId="17" fillId="0" borderId="0" xfId="4" applyFont="1" applyAlignment="1">
      <alignment horizontal="right"/>
    </xf>
    <xf numFmtId="0" fontId="17" fillId="0" borderId="16" xfId="0" applyFont="1" applyBorder="1" applyAlignment="1">
      <alignment horizontal="center" vertical="center" wrapText="1"/>
    </xf>
    <xf numFmtId="0" fontId="48" fillId="0" borderId="15" xfId="0" applyFont="1" applyBorder="1" applyAlignment="1">
      <alignment wrapText="1"/>
    </xf>
    <xf numFmtId="3" fontId="17" fillId="0" borderId="0" xfId="0" applyNumberFormat="1" applyFont="1" applyBorder="1"/>
    <xf numFmtId="0" fontId="17" fillId="0" borderId="15" xfId="0" applyFont="1" applyBorder="1" applyAlignment="1">
      <alignment wrapText="1"/>
    </xf>
    <xf numFmtId="3" fontId="23" fillId="0" borderId="15" xfId="0" applyNumberFormat="1" applyFont="1" applyBorder="1"/>
    <xf numFmtId="0" fontId="17" fillId="0" borderId="0" xfId="0" applyFont="1" applyBorder="1" applyAlignment="1">
      <alignment horizontal="center" vertical="center"/>
    </xf>
    <xf numFmtId="0" fontId="107" fillId="0" borderId="0" xfId="0" applyFont="1" applyBorder="1" applyAlignment="1"/>
    <xf numFmtId="3" fontId="107" fillId="0" borderId="0" xfId="0" applyNumberFormat="1" applyFont="1" applyBorder="1" applyAlignment="1"/>
    <xf numFmtId="0" fontId="17" fillId="0" borderId="15" xfId="4" applyFont="1" applyBorder="1" applyAlignment="1">
      <alignment horizontal="center" vertical="center"/>
    </xf>
    <xf numFmtId="0" fontId="17" fillId="0" borderId="15" xfId="4" applyFont="1" applyBorder="1"/>
    <xf numFmtId="3" fontId="105" fillId="0" borderId="0" xfId="4" applyNumberFormat="1" applyFont="1"/>
    <xf numFmtId="0" fontId="17" fillId="0" borderId="15" xfId="4" applyFont="1" applyBorder="1" applyAlignment="1">
      <alignment horizontal="center" vertical="center" wrapText="1"/>
    </xf>
    <xf numFmtId="3" fontId="17" fillId="0" borderId="15" xfId="4" applyNumberFormat="1" applyFont="1" applyBorder="1"/>
    <xf numFmtId="3" fontId="48" fillId="3" borderId="15" xfId="2" quotePrefix="1" applyNumberFormat="1" applyFont="1" applyFill="1" applyBorder="1" applyAlignment="1">
      <alignment horizontal="center" vertical="center"/>
    </xf>
    <xf numFmtId="49" fontId="23" fillId="3" borderId="15" xfId="0" applyNumberFormat="1" applyFont="1" applyFill="1" applyBorder="1" applyAlignment="1">
      <alignment vertical="center" wrapText="1" shrinkToFit="1"/>
    </xf>
    <xf numFmtId="0" fontId="17" fillId="0" borderId="15" xfId="5" applyFont="1" applyBorder="1" applyAlignment="1">
      <alignment horizontal="left" wrapText="1" shrinkToFit="1"/>
    </xf>
    <xf numFmtId="3" fontId="17" fillId="0" borderId="0" xfId="0" applyNumberFormat="1" applyFont="1" applyBorder="1" applyAlignment="1">
      <alignment horizontal="right"/>
    </xf>
    <xf numFmtId="0" fontId="17" fillId="21" borderId="15" xfId="5" applyFont="1" applyFill="1" applyBorder="1" applyAlignment="1">
      <alignment horizontal="left" wrapText="1" shrinkToFit="1"/>
    </xf>
    <xf numFmtId="0" fontId="19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3" fontId="17" fillId="0" borderId="53" xfId="0" applyNumberFormat="1" applyFont="1" applyBorder="1" applyAlignment="1">
      <alignment horizontal="right"/>
    </xf>
    <xf numFmtId="0" fontId="17" fillId="0" borderId="60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3" fontId="17" fillId="0" borderId="14" xfId="0" applyNumberFormat="1" applyFont="1" applyBorder="1"/>
    <xf numFmtId="3" fontId="17" fillId="0" borderId="56" xfId="0" applyNumberFormat="1" applyFont="1" applyBorder="1" applyAlignment="1">
      <alignment horizontal="right"/>
    </xf>
    <xf numFmtId="0" fontId="23" fillId="0" borderId="15" xfId="10" applyFont="1" applyBorder="1" applyAlignment="1">
      <alignment horizontal="center" vertical="center" wrapText="1"/>
    </xf>
    <xf numFmtId="0" fontId="23" fillId="0" borderId="53" xfId="10" applyFont="1" applyBorder="1" applyAlignment="1">
      <alignment horizontal="center" vertical="center" wrapText="1"/>
    </xf>
    <xf numFmtId="0" fontId="87" fillId="0" borderId="60" xfId="10" applyFont="1" applyBorder="1" applyAlignment="1">
      <alignment horizontal="center"/>
    </xf>
    <xf numFmtId="0" fontId="87" fillId="0" borderId="15" xfId="10" applyFont="1" applyBorder="1" applyAlignment="1">
      <alignment horizontal="left" wrapText="1"/>
    </xf>
    <xf numFmtId="0" fontId="24" fillId="0" borderId="15" xfId="10" applyFont="1" applyBorder="1" applyAlignment="1">
      <alignment horizontal="right" wrapText="1"/>
    </xf>
    <xf numFmtId="3" fontId="24" fillId="0" borderId="53" xfId="10" applyNumberFormat="1" applyFont="1" applyBorder="1" applyAlignment="1">
      <alignment horizontal="right" wrapText="1"/>
    </xf>
    <xf numFmtId="0" fontId="23" fillId="0" borderId="15" xfId="10" applyFont="1" applyBorder="1" applyAlignment="1">
      <alignment horizontal="right" wrapText="1"/>
    </xf>
    <xf numFmtId="0" fontId="23" fillId="0" borderId="53" xfId="10" applyFont="1" applyBorder="1" applyAlignment="1">
      <alignment horizontal="right" wrapText="1"/>
    </xf>
    <xf numFmtId="0" fontId="87" fillId="0" borderId="15" xfId="10" applyFont="1" applyBorder="1" applyAlignment="1">
      <alignment wrapText="1"/>
    </xf>
    <xf numFmtId="3" fontId="24" fillId="0" borderId="15" xfId="10" applyNumberFormat="1" applyFont="1" applyBorder="1" applyAlignment="1">
      <alignment horizontal="right"/>
    </xf>
    <xf numFmtId="0" fontId="88" fillId="0" borderId="42" xfId="10" applyFont="1" applyBorder="1" applyAlignment="1">
      <alignment horizontal="center"/>
    </xf>
    <xf numFmtId="0" fontId="91" fillId="0" borderId="64" xfId="10" applyFont="1" applyBorder="1"/>
    <xf numFmtId="3" fontId="23" fillId="0" borderId="64" xfId="10" applyNumberFormat="1" applyFont="1" applyBorder="1" applyAlignment="1">
      <alignment horizontal="right"/>
    </xf>
    <xf numFmtId="3" fontId="23" fillId="0" borderId="65" xfId="10" applyNumberFormat="1" applyFont="1" applyBorder="1" applyAlignment="1">
      <alignment horizontal="right"/>
    </xf>
    <xf numFmtId="0" fontId="92" fillId="0" borderId="11" xfId="10" applyFont="1" applyBorder="1" applyAlignment="1">
      <alignment wrapText="1"/>
    </xf>
    <xf numFmtId="3" fontId="23" fillId="0" borderId="8" xfId="10" applyNumberFormat="1" applyFont="1" applyBorder="1" applyAlignment="1">
      <alignment horizontal="right"/>
    </xf>
    <xf numFmtId="3" fontId="23" fillId="0" borderId="28" xfId="10" applyNumberFormat="1" applyFont="1" applyBorder="1" applyAlignment="1">
      <alignment horizontal="right"/>
    </xf>
    <xf numFmtId="0" fontId="92" fillId="0" borderId="23" xfId="10" applyFont="1" applyBorder="1"/>
    <xf numFmtId="0" fontId="87" fillId="0" borderId="41" xfId="10" applyFont="1" applyBorder="1" applyAlignment="1">
      <alignment horizontal="center"/>
    </xf>
    <xf numFmtId="0" fontId="87" fillId="0" borderId="64" xfId="10" applyFont="1" applyFill="1" applyBorder="1" applyAlignment="1">
      <alignment wrapText="1"/>
    </xf>
    <xf numFmtId="0" fontId="23" fillId="0" borderId="64" xfId="10" applyFont="1" applyBorder="1" applyAlignment="1">
      <alignment horizontal="center"/>
    </xf>
    <xf numFmtId="0" fontId="87" fillId="0" borderId="11" xfId="10" applyFont="1" applyFill="1" applyBorder="1"/>
    <xf numFmtId="0" fontId="23" fillId="0" borderId="11" xfId="10" applyFont="1" applyBorder="1" applyAlignment="1">
      <alignment horizontal="right"/>
    </xf>
    <xf numFmtId="3" fontId="23" fillId="0" borderId="25" xfId="10" applyNumberFormat="1" applyFont="1" applyBorder="1" applyAlignment="1">
      <alignment horizontal="right" vertical="center"/>
    </xf>
    <xf numFmtId="0" fontId="92" fillId="0" borderId="11" xfId="10" applyFont="1" applyFill="1" applyBorder="1" applyAlignment="1">
      <alignment wrapText="1"/>
    </xf>
    <xf numFmtId="0" fontId="88" fillId="0" borderId="38" xfId="10" applyFont="1" applyBorder="1" applyAlignment="1">
      <alignment horizontal="center"/>
    </xf>
    <xf numFmtId="0" fontId="87" fillId="0" borderId="9" xfId="10" applyFont="1" applyFill="1" applyBorder="1" applyAlignment="1">
      <alignment wrapText="1"/>
    </xf>
    <xf numFmtId="0" fontId="23" fillId="0" borderId="9" xfId="10" applyFont="1" applyBorder="1" applyAlignment="1">
      <alignment horizontal="right"/>
    </xf>
    <xf numFmtId="3" fontId="23" fillId="0" borderId="20" xfId="10" applyNumberFormat="1" applyFont="1" applyBorder="1" applyAlignment="1">
      <alignment horizontal="right" vertical="center"/>
    </xf>
    <xf numFmtId="3" fontId="24" fillId="0" borderId="14" xfId="10" applyNumberFormat="1" applyFont="1" applyBorder="1" applyAlignment="1">
      <alignment horizontal="right"/>
    </xf>
    <xf numFmtId="0" fontId="77" fillId="0" borderId="0" xfId="10" applyFont="1"/>
    <xf numFmtId="0" fontId="73" fillId="0" borderId="0" xfId="10" applyFont="1"/>
    <xf numFmtId="0" fontId="103" fillId="0" borderId="0" xfId="10" applyFont="1" applyAlignment="1">
      <alignment horizontal="right"/>
    </xf>
    <xf numFmtId="0" fontId="24" fillId="0" borderId="15" xfId="0" applyFont="1" applyFill="1" applyBorder="1" applyAlignment="1">
      <alignment horizontal="center" vertical="center" shrinkToFit="1"/>
    </xf>
    <xf numFmtId="2" fontId="24" fillId="0" borderId="15" xfId="0" applyNumberFormat="1" applyFont="1" applyFill="1" applyBorder="1" applyAlignment="1">
      <alignment vertical="center" wrapText="1"/>
    </xf>
    <xf numFmtId="3" fontId="23" fillId="0" borderId="15" xfId="0" applyNumberFormat="1" applyFont="1" applyFill="1" applyBorder="1" applyAlignment="1">
      <alignment horizontal="right" vertical="center" shrinkToFit="1"/>
    </xf>
    <xf numFmtId="3" fontId="24" fillId="0" borderId="15" xfId="0" applyNumberFormat="1" applyFont="1" applyFill="1" applyBorder="1" applyAlignment="1">
      <alignment horizontal="right" vertical="center" shrinkToFit="1"/>
    </xf>
    <xf numFmtId="0" fontId="23" fillId="0" borderId="15" xfId="0" applyFont="1" applyFill="1" applyBorder="1" applyAlignment="1">
      <alignment horizontal="center" shrinkToFit="1"/>
    </xf>
    <xf numFmtId="2" fontId="23" fillId="0" borderId="15" xfId="0" applyNumberFormat="1" applyFont="1" applyFill="1" applyBorder="1" applyAlignment="1">
      <alignment horizontal="left" shrinkToFit="1"/>
    </xf>
    <xf numFmtId="2" fontId="24" fillId="0" borderId="15" xfId="0" applyNumberFormat="1" applyFont="1" applyFill="1" applyBorder="1" applyAlignment="1">
      <alignment horizontal="center" shrinkToFit="1"/>
    </xf>
    <xf numFmtId="3" fontId="23" fillId="0" borderId="15" xfId="0" applyNumberFormat="1" applyFont="1" applyFill="1" applyBorder="1" applyAlignment="1">
      <alignment horizontal="justify" vertical="center" shrinkToFit="1"/>
    </xf>
    <xf numFmtId="3" fontId="23" fillId="0" borderId="15" xfId="0" applyNumberFormat="1" applyFont="1" applyFill="1" applyBorder="1" applyAlignment="1">
      <alignment horizontal="right" shrinkToFit="1"/>
    </xf>
    <xf numFmtId="3" fontId="23" fillId="2" borderId="15" xfId="0" applyNumberFormat="1" applyFont="1" applyFill="1" applyBorder="1" applyAlignment="1">
      <alignment horizontal="right" shrinkToFit="1"/>
    </xf>
    <xf numFmtId="3" fontId="24" fillId="0" borderId="15" xfId="0" applyNumberFormat="1" applyFont="1" applyFill="1" applyBorder="1" applyAlignment="1">
      <alignment horizontal="right" shrinkToFit="1"/>
    </xf>
    <xf numFmtId="2" fontId="24" fillId="0" borderId="15" xfId="0" applyNumberFormat="1" applyFont="1" applyFill="1" applyBorder="1" applyAlignment="1">
      <alignment horizontal="left" vertical="center" wrapText="1" shrinkToFit="1"/>
    </xf>
    <xf numFmtId="2" fontId="24" fillId="0" borderId="15" xfId="0" applyNumberFormat="1" applyFont="1" applyFill="1" applyBorder="1" applyAlignment="1">
      <alignment vertical="center" shrinkToFit="1"/>
    </xf>
    <xf numFmtId="0" fontId="23" fillId="0" borderId="15" xfId="0" applyFont="1" applyFill="1" applyBorder="1" applyAlignment="1">
      <alignment horizontal="center" vertical="center" shrinkToFit="1"/>
    </xf>
    <xf numFmtId="3" fontId="24" fillId="3" borderId="15" xfId="0" applyNumberFormat="1" applyFont="1" applyFill="1" applyBorder="1" applyAlignment="1">
      <alignment horizontal="right" vertical="center" shrinkToFit="1"/>
    </xf>
    <xf numFmtId="3" fontId="35" fillId="3" borderId="15" xfId="0" applyNumberFormat="1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horizontal="center" shrinkToFit="1"/>
    </xf>
    <xf numFmtId="0" fontId="23" fillId="0" borderId="15" xfId="0" applyFont="1" applyFill="1" applyBorder="1" applyAlignment="1">
      <alignment horizontal="justify" shrinkToFit="1"/>
    </xf>
    <xf numFmtId="0" fontId="23" fillId="0" borderId="15" xfId="0" applyFont="1" applyFill="1" applyBorder="1" applyAlignment="1">
      <alignment horizontal="justify" vertical="center" shrinkToFit="1"/>
    </xf>
    <xf numFmtId="0" fontId="23" fillId="2" borderId="15" xfId="0" applyFont="1" applyFill="1" applyBorder="1" applyAlignment="1">
      <alignment horizontal="justify" vertical="center" shrinkToFit="1"/>
    </xf>
    <xf numFmtId="3" fontId="23" fillId="0" borderId="15" xfId="0" applyNumberFormat="1" applyFont="1" applyFill="1" applyBorder="1" applyAlignment="1">
      <alignment vertical="center" wrapText="1"/>
    </xf>
    <xf numFmtId="3" fontId="24" fillId="2" borderId="15" xfId="0" applyNumberFormat="1" applyFont="1" applyFill="1" applyBorder="1" applyAlignment="1">
      <alignment horizontal="right" shrinkToFit="1"/>
    </xf>
    <xf numFmtId="3" fontId="23" fillId="2" borderId="15" xfId="0" applyNumberFormat="1" applyFont="1" applyFill="1" applyBorder="1" applyAlignment="1">
      <alignment horizontal="right" vertical="center" shrinkToFit="1"/>
    </xf>
    <xf numFmtId="3" fontId="23" fillId="7" borderId="15" xfId="0" applyNumberFormat="1" applyFont="1" applyFill="1" applyBorder="1" applyAlignment="1">
      <alignment horizontal="right" vertical="center" shrinkToFit="1"/>
    </xf>
    <xf numFmtId="3" fontId="48" fillId="7" borderId="15" xfId="2" quotePrefix="1" applyNumberFormat="1" applyFont="1" applyFill="1" applyBorder="1" applyAlignment="1">
      <alignment horizontal="center" vertical="center"/>
    </xf>
    <xf numFmtId="3" fontId="23" fillId="0" borderId="16" xfId="0" applyNumberFormat="1" applyFont="1" applyFill="1" applyBorder="1" applyAlignment="1">
      <alignment horizontal="right" vertical="center" shrinkToFit="1"/>
    </xf>
    <xf numFmtId="3" fontId="24" fillId="0" borderId="16" xfId="0" applyNumberFormat="1" applyFont="1" applyFill="1" applyBorder="1" applyAlignment="1">
      <alignment horizontal="right" vertical="center" shrinkToFit="1"/>
    </xf>
    <xf numFmtId="0" fontId="24" fillId="0" borderId="13" xfId="0" applyFont="1" applyFill="1" applyBorder="1" applyAlignment="1">
      <alignment horizontal="center" vertical="center" shrinkToFit="1"/>
    </xf>
    <xf numFmtId="2" fontId="24" fillId="0" borderId="13" xfId="0" applyNumberFormat="1" applyFont="1" applyFill="1" applyBorder="1" applyAlignment="1">
      <alignment vertical="center" wrapText="1"/>
    </xf>
    <xf numFmtId="3" fontId="23" fillId="0" borderId="13" xfId="0" applyNumberFormat="1" applyFont="1" applyFill="1" applyBorder="1" applyAlignment="1">
      <alignment horizontal="justify" vertical="center" shrinkToFit="1"/>
    </xf>
    <xf numFmtId="3" fontId="23" fillId="0" borderId="13" xfId="0" applyNumberFormat="1" applyFont="1" applyFill="1" applyBorder="1" applyAlignment="1">
      <alignment horizontal="right" vertical="center" shrinkToFit="1"/>
    </xf>
    <xf numFmtId="2" fontId="24" fillId="7" borderId="12" xfId="0" applyNumberFormat="1" applyFont="1" applyFill="1" applyBorder="1" applyAlignment="1">
      <alignment horizontal="center" shrinkToFit="1"/>
    </xf>
    <xf numFmtId="3" fontId="23" fillId="7" borderId="12" xfId="0" applyNumberFormat="1" applyFont="1" applyFill="1" applyBorder="1" applyAlignment="1">
      <alignment horizontal="right" vertical="center" shrinkToFit="1"/>
    </xf>
    <xf numFmtId="3" fontId="24" fillId="7" borderId="55" xfId="0" applyNumberFormat="1" applyFont="1" applyFill="1" applyBorder="1" applyAlignment="1">
      <alignment horizontal="right" vertical="center" shrinkToFit="1"/>
    </xf>
    <xf numFmtId="3" fontId="24" fillId="7" borderId="53" xfId="0" applyNumberFormat="1" applyFont="1" applyFill="1" applyBorder="1" applyAlignment="1">
      <alignment horizontal="right" vertical="center" shrinkToFit="1"/>
    </xf>
    <xf numFmtId="3" fontId="48" fillId="7" borderId="14" xfId="2" quotePrefix="1" applyNumberFormat="1" applyFont="1" applyFill="1" applyBorder="1" applyAlignment="1">
      <alignment horizontal="center" vertical="center"/>
    </xf>
    <xf numFmtId="3" fontId="23" fillId="7" borderId="14" xfId="0" applyNumberFormat="1" applyFont="1" applyFill="1" applyBorder="1" applyAlignment="1">
      <alignment horizontal="right" vertical="center" shrinkToFit="1"/>
    </xf>
    <xf numFmtId="3" fontId="24" fillId="7" borderId="56" xfId="0" applyNumberFormat="1" applyFont="1" applyFill="1" applyBorder="1" applyAlignment="1">
      <alignment horizontal="right" vertical="center" shrinkToFit="1"/>
    </xf>
    <xf numFmtId="3" fontId="24" fillId="7" borderId="15" xfId="0" applyNumberFormat="1" applyFont="1" applyFill="1" applyBorder="1" applyAlignment="1">
      <alignment horizontal="right" shrinkToFit="1"/>
    </xf>
    <xf numFmtId="0" fontId="23" fillId="0" borderId="16" xfId="0" applyFont="1" applyFill="1" applyBorder="1" applyAlignment="1">
      <alignment horizontal="center" shrinkToFit="1"/>
    </xf>
    <xf numFmtId="3" fontId="23" fillId="2" borderId="16" xfId="0" applyNumberFormat="1" applyFont="1" applyFill="1" applyBorder="1" applyAlignment="1">
      <alignment horizontal="right" shrinkToFit="1"/>
    </xf>
    <xf numFmtId="3" fontId="24" fillId="0" borderId="13" xfId="0" applyNumberFormat="1" applyFont="1" applyFill="1" applyBorder="1" applyAlignment="1">
      <alignment horizontal="right" vertical="center" shrinkToFit="1"/>
    </xf>
    <xf numFmtId="3" fontId="24" fillId="7" borderId="12" xfId="0" applyNumberFormat="1" applyFont="1" applyFill="1" applyBorder="1" applyAlignment="1">
      <alignment horizontal="right" shrinkToFit="1"/>
    </xf>
    <xf numFmtId="3" fontId="24" fillId="7" borderId="55" xfId="0" applyNumberFormat="1" applyFont="1" applyFill="1" applyBorder="1" applyAlignment="1">
      <alignment horizontal="right" shrinkToFit="1"/>
    </xf>
    <xf numFmtId="2" fontId="24" fillId="7" borderId="60" xfId="0" applyNumberFormat="1" applyFont="1" applyFill="1" applyBorder="1" applyAlignment="1">
      <alignment horizontal="center" shrinkToFit="1"/>
    </xf>
    <xf numFmtId="3" fontId="24" fillId="7" borderId="53" xfId="0" applyNumberFormat="1" applyFont="1" applyFill="1" applyBorder="1" applyAlignment="1">
      <alignment horizontal="right" shrinkToFit="1"/>
    </xf>
    <xf numFmtId="2" fontId="24" fillId="7" borderId="57" xfId="0" applyNumberFormat="1" applyFont="1" applyFill="1" applyBorder="1" applyAlignment="1">
      <alignment horizontal="center" shrinkToFit="1"/>
    </xf>
    <xf numFmtId="3" fontId="24" fillId="5" borderId="12" xfId="0" applyNumberFormat="1" applyFont="1" applyFill="1" applyBorder="1" applyAlignment="1">
      <alignment horizontal="right" vertical="center" shrinkToFit="1"/>
    </xf>
    <xf numFmtId="3" fontId="24" fillId="5" borderId="55" xfId="0" applyNumberFormat="1" applyFont="1" applyFill="1" applyBorder="1" applyAlignment="1">
      <alignment horizontal="right" vertical="center" shrinkToFit="1"/>
    </xf>
    <xf numFmtId="2" fontId="24" fillId="5" borderId="60" xfId="0" applyNumberFormat="1" applyFont="1" applyFill="1" applyBorder="1" applyAlignment="1">
      <alignment horizontal="center" vertical="center" shrinkToFit="1"/>
    </xf>
    <xf numFmtId="3" fontId="48" fillId="5" borderId="15" xfId="2" quotePrefix="1" applyNumberFormat="1" applyFont="1" applyFill="1" applyBorder="1" applyAlignment="1">
      <alignment horizontal="center" vertical="center"/>
    </xf>
    <xf numFmtId="3" fontId="24" fillId="5" borderId="15" xfId="0" applyNumberFormat="1" applyFont="1" applyFill="1" applyBorder="1" applyAlignment="1">
      <alignment horizontal="right" vertical="center" shrinkToFit="1"/>
    </xf>
    <xf numFmtId="3" fontId="24" fillId="5" borderId="53" xfId="0" applyNumberFormat="1" applyFont="1" applyFill="1" applyBorder="1" applyAlignment="1">
      <alignment horizontal="right" vertical="center" shrinkToFit="1"/>
    </xf>
    <xf numFmtId="2" fontId="24" fillId="5" borderId="57" xfId="0" applyNumberFormat="1" applyFont="1" applyFill="1" applyBorder="1" applyAlignment="1">
      <alignment horizontal="center" vertical="center" shrinkToFit="1"/>
    </xf>
    <xf numFmtId="3" fontId="48" fillId="5" borderId="14" xfId="2" quotePrefix="1" applyNumberFormat="1" applyFont="1" applyFill="1" applyBorder="1" applyAlignment="1">
      <alignment horizontal="center" vertical="center"/>
    </xf>
    <xf numFmtId="3" fontId="24" fillId="5" borderId="14" xfId="0" applyNumberFormat="1" applyFont="1" applyFill="1" applyBorder="1" applyAlignment="1">
      <alignment horizontal="right" vertical="center" shrinkToFit="1"/>
    </xf>
    <xf numFmtId="3" fontId="24" fillId="5" borderId="56" xfId="0" applyNumberFormat="1" applyFont="1" applyFill="1" applyBorder="1" applyAlignment="1">
      <alignment horizontal="right" vertical="center" shrinkToFit="1"/>
    </xf>
    <xf numFmtId="3" fontId="21" fillId="3" borderId="16" xfId="0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shrinkToFit="1"/>
    </xf>
    <xf numFmtId="0" fontId="24" fillId="5" borderId="60" xfId="0" applyFont="1" applyFill="1" applyBorder="1" applyAlignment="1">
      <alignment horizontal="center" vertical="center" shrinkToFit="1"/>
    </xf>
    <xf numFmtId="0" fontId="24" fillId="5" borderId="57" xfId="0" applyFont="1" applyFill="1" applyBorder="1" applyAlignment="1">
      <alignment horizontal="center" vertical="center" shrinkToFit="1"/>
    </xf>
    <xf numFmtId="3" fontId="24" fillId="5" borderId="3" xfId="0" applyNumberFormat="1" applyFont="1" applyFill="1" applyBorder="1" applyAlignment="1">
      <alignment horizontal="right" vertical="center" shrinkToFit="1"/>
    </xf>
    <xf numFmtId="3" fontId="24" fillId="5" borderId="15" xfId="0" applyNumberFormat="1" applyFont="1" applyFill="1" applyBorder="1" applyAlignment="1">
      <alignment horizontal="right" shrinkToFit="1"/>
    </xf>
    <xf numFmtId="0" fontId="37" fillId="5" borderId="15" xfId="0" applyFont="1" applyFill="1" applyBorder="1" applyAlignment="1">
      <alignment horizontal="center" shrinkToFit="1"/>
    </xf>
    <xf numFmtId="3" fontId="23" fillId="5" borderId="15" xfId="0" applyNumberFormat="1" applyFont="1" applyFill="1" applyBorder="1" applyAlignment="1">
      <alignment horizontal="justify" shrinkToFit="1"/>
    </xf>
    <xf numFmtId="3" fontId="10" fillId="12" borderId="82" xfId="2" applyNumberFormat="1" applyFont="1" applyFill="1" applyBorder="1" applyAlignment="1">
      <alignment horizontal="center" vertical="center"/>
    </xf>
    <xf numFmtId="3" fontId="19" fillId="12" borderId="82" xfId="3" applyNumberFormat="1" applyFont="1" applyFill="1" applyBorder="1" applyAlignment="1">
      <alignment vertical="center" shrinkToFit="1"/>
    </xf>
    <xf numFmtId="3" fontId="51" fillId="12" borderId="82" xfId="2" applyNumberFormat="1" applyFont="1" applyFill="1" applyBorder="1" applyAlignment="1">
      <alignment horizontal="right" vertical="center"/>
    </xf>
    <xf numFmtId="4" fontId="51" fillId="12" borderId="82" xfId="2" applyNumberFormat="1" applyFont="1" applyFill="1" applyBorder="1" applyAlignment="1">
      <alignment horizontal="right" vertical="center"/>
    </xf>
    <xf numFmtId="3" fontId="51" fillId="12" borderId="82" xfId="2" quotePrefix="1" applyNumberFormat="1" applyFont="1" applyFill="1" applyBorder="1" applyAlignment="1">
      <alignment horizontal="center" vertical="center"/>
    </xf>
    <xf numFmtId="1" fontId="50" fillId="12" borderId="82" xfId="2" applyNumberFormat="1" applyFont="1" applyFill="1" applyBorder="1" applyAlignment="1">
      <alignment horizontal="right" vertical="center"/>
    </xf>
    <xf numFmtId="3" fontId="19" fillId="12" borderId="82" xfId="2" applyNumberFormat="1" applyFont="1" applyFill="1" applyBorder="1" applyAlignment="1">
      <alignment horizontal="right" vertical="center"/>
    </xf>
    <xf numFmtId="4" fontId="19" fillId="12" borderId="82" xfId="2" applyNumberFormat="1" applyFont="1" applyFill="1" applyBorder="1" applyAlignment="1">
      <alignment horizontal="right" vertical="center"/>
    </xf>
    <xf numFmtId="3" fontId="51" fillId="12" borderId="82" xfId="2" applyNumberFormat="1" applyFont="1" applyFill="1" applyBorder="1" applyAlignment="1">
      <alignment horizontal="left"/>
    </xf>
    <xf numFmtId="3" fontId="19" fillId="12" borderId="82" xfId="2" applyNumberFormat="1" applyFont="1" applyFill="1" applyBorder="1" applyAlignment="1">
      <alignment vertical="center"/>
    </xf>
    <xf numFmtId="3" fontId="19" fillId="3" borderId="79" xfId="2" applyNumberFormat="1" applyFont="1" applyFill="1" applyBorder="1" applyAlignment="1">
      <alignment horizontal="center" vertical="center"/>
    </xf>
    <xf numFmtId="3" fontId="19" fillId="3" borderId="79" xfId="2" applyNumberFormat="1" applyFont="1" applyFill="1" applyBorder="1" applyAlignment="1">
      <alignment horizontal="center" vertical="center" wrapText="1"/>
    </xf>
    <xf numFmtId="3" fontId="19" fillId="3" borderId="82" xfId="2" applyNumberFormat="1" applyFont="1" applyFill="1" applyBorder="1" applyAlignment="1">
      <alignment horizontal="center" vertical="center"/>
    </xf>
    <xf numFmtId="3" fontId="19" fillId="3" borderId="88" xfId="2" applyNumberFormat="1" applyFont="1" applyFill="1" applyBorder="1" applyAlignment="1">
      <alignment horizontal="center" vertical="center"/>
    </xf>
    <xf numFmtId="3" fontId="19" fillId="3" borderId="88" xfId="2" applyNumberFormat="1" applyFont="1" applyFill="1" applyBorder="1" applyAlignment="1">
      <alignment horizontal="center" vertical="center" wrapText="1"/>
    </xf>
    <xf numFmtId="3" fontId="19" fillId="3" borderId="83" xfId="2" applyNumberFormat="1" applyFont="1" applyFill="1" applyBorder="1" applyAlignment="1">
      <alignment horizontal="center" vertical="center"/>
    </xf>
    <xf numFmtId="3" fontId="19" fillId="3" borderId="83" xfId="2" applyNumberFormat="1" applyFont="1" applyFill="1" applyBorder="1" applyAlignment="1">
      <alignment horizontal="center" vertical="center" wrapText="1"/>
    </xf>
    <xf numFmtId="3" fontId="27" fillId="3" borderId="15" xfId="2" applyNumberFormat="1" applyFont="1" applyFill="1" applyBorder="1" applyAlignment="1">
      <alignment vertical="center"/>
    </xf>
    <xf numFmtId="3" fontId="27" fillId="0" borderId="15" xfId="2" applyNumberFormat="1" applyFont="1" applyFill="1" applyBorder="1" applyAlignment="1">
      <alignment vertical="center"/>
    </xf>
    <xf numFmtId="3" fontId="8" fillId="7" borderId="0" xfId="2" applyNumberFormat="1" applyFont="1" applyFill="1" applyAlignment="1">
      <alignment vertical="center"/>
    </xf>
    <xf numFmtId="3" fontId="8" fillId="0" borderId="0" xfId="2" applyNumberFormat="1" applyFont="1" applyFill="1" applyAlignment="1">
      <alignment vertical="center"/>
    </xf>
    <xf numFmtId="3" fontId="8" fillId="6" borderId="82" xfId="2" applyNumberFormat="1" applyFont="1" applyFill="1" applyBorder="1" applyAlignment="1">
      <alignment vertical="center"/>
    </xf>
    <xf numFmtId="3" fontId="27" fillId="0" borderId="0" xfId="2" applyNumberFormat="1" applyFont="1" applyFill="1" applyAlignment="1">
      <alignment vertical="center"/>
    </xf>
    <xf numFmtId="3" fontId="8" fillId="0" borderId="15" xfId="2" applyNumberFormat="1" applyFont="1" applyFill="1" applyBorder="1" applyAlignment="1">
      <alignment vertical="center"/>
    </xf>
    <xf numFmtId="3" fontId="19" fillId="3" borderId="16" xfId="2" applyNumberFormat="1" applyFont="1" applyFill="1" applyBorder="1" applyAlignment="1">
      <alignment vertical="center" shrinkToFit="1"/>
    </xf>
    <xf numFmtId="41" fontId="17" fillId="0" borderId="15" xfId="2" applyNumberFormat="1" applyFont="1" applyFill="1" applyBorder="1" applyAlignment="1">
      <alignment vertical="center"/>
    </xf>
    <xf numFmtId="41" fontId="17" fillId="0" borderId="16" xfId="2" applyNumberFormat="1" applyFont="1" applyFill="1" applyBorder="1" applyAlignment="1">
      <alignment vertical="center"/>
    </xf>
    <xf numFmtId="3" fontId="17" fillId="0" borderId="16" xfId="2" applyNumberFormat="1" applyFont="1" applyFill="1" applyBorder="1" applyAlignment="1">
      <alignment vertical="center"/>
    </xf>
    <xf numFmtId="3" fontId="57" fillId="0" borderId="0" xfId="2" applyNumberFormat="1" applyFont="1" applyFill="1" applyAlignment="1">
      <alignment horizontal="center" vertical="center"/>
    </xf>
    <xf numFmtId="49" fontId="9" fillId="0" borderId="0" xfId="2" applyNumberFormat="1" applyFont="1" applyFill="1" applyAlignment="1">
      <alignment vertical="center"/>
    </xf>
    <xf numFmtId="1" fontId="111" fillId="0" borderId="0" xfId="2" applyNumberFormat="1" applyFont="1" applyFill="1" applyAlignment="1">
      <alignment horizontal="right" vertical="center"/>
    </xf>
    <xf numFmtId="41" fontId="62" fillId="0" borderId="22" xfId="0" applyNumberFormat="1" applyFont="1" applyFill="1" applyBorder="1" applyAlignment="1">
      <alignment horizontal="center" vertical="center" shrinkToFit="1"/>
    </xf>
    <xf numFmtId="3" fontId="24" fillId="0" borderId="78" xfId="0" applyNumberFormat="1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49" fontId="24" fillId="0" borderId="15" xfId="0" applyNumberFormat="1" applyFont="1" applyFill="1" applyBorder="1" applyAlignment="1">
      <alignment vertical="center" shrinkToFit="1"/>
    </xf>
    <xf numFmtId="41" fontId="24" fillId="0" borderId="15" xfId="0" applyNumberFormat="1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 shrinkToFit="1"/>
    </xf>
    <xf numFmtId="0" fontId="19" fillId="0" borderId="15" xfId="0" applyFont="1" applyFill="1" applyBorder="1" applyAlignment="1">
      <alignment horizontal="center" vertical="center" shrinkToFit="1"/>
    </xf>
    <xf numFmtId="0" fontId="24" fillId="0" borderId="15" xfId="0" applyFont="1" applyBorder="1" applyAlignment="1">
      <alignment horizontal="left" vertical="center" shrinkToFit="1"/>
    </xf>
    <xf numFmtId="41" fontId="24" fillId="0" borderId="15" xfId="0" applyNumberFormat="1" applyFont="1" applyBorder="1" applyAlignment="1">
      <alignment horizontal="left" vertical="center" shrinkToFit="1"/>
    </xf>
    <xf numFmtId="0" fontId="24" fillId="9" borderId="15" xfId="0" applyFont="1" applyFill="1" applyBorder="1" applyAlignment="1">
      <alignment horizontal="left" vertical="center" shrinkToFit="1"/>
    </xf>
    <xf numFmtId="41" fontId="24" fillId="9" borderId="15" xfId="0" applyNumberFormat="1" applyFont="1" applyFill="1" applyBorder="1" applyAlignment="1">
      <alignment horizontal="left" vertical="center" shrinkToFit="1"/>
    </xf>
    <xf numFmtId="3" fontId="24" fillId="9" borderId="15" xfId="0" applyNumberFormat="1" applyFont="1" applyFill="1" applyBorder="1" applyAlignment="1">
      <alignment horizontal="right" vertical="center" shrinkToFit="1"/>
    </xf>
    <xf numFmtId="41" fontId="30" fillId="3" borderId="15" xfId="0" applyNumberFormat="1" applyFont="1" applyFill="1" applyBorder="1" applyAlignment="1">
      <alignment horizontal="left" vertical="center" shrinkToFit="1"/>
    </xf>
    <xf numFmtId="3" fontId="23" fillId="3" borderId="15" xfId="0" applyNumberFormat="1" applyFont="1" applyFill="1" applyBorder="1" applyAlignment="1">
      <alignment horizontal="right" vertical="center" shrinkToFit="1"/>
    </xf>
    <xf numFmtId="0" fontId="30" fillId="3" borderId="15" xfId="0" applyFont="1" applyFill="1" applyBorder="1" applyAlignment="1">
      <alignment horizontal="left" vertical="center" shrinkToFit="1"/>
    </xf>
    <xf numFmtId="0" fontId="4" fillId="8" borderId="15" xfId="0" applyFont="1" applyFill="1" applyBorder="1" applyAlignment="1">
      <alignment vertical="center" shrinkToFit="1"/>
    </xf>
    <xf numFmtId="1" fontId="17" fillId="8" borderId="15" xfId="0" applyNumberFormat="1" applyFont="1" applyFill="1" applyBorder="1" applyAlignment="1">
      <alignment horizontal="center" vertical="center" shrinkToFit="1"/>
    </xf>
    <xf numFmtId="49" fontId="24" fillId="8" borderId="15" xfId="0" applyNumberFormat="1" applyFont="1" applyFill="1" applyBorder="1" applyAlignment="1">
      <alignment vertical="center" shrinkToFit="1"/>
    </xf>
    <xf numFmtId="41" fontId="24" fillId="8" borderId="15" xfId="0" applyNumberFormat="1" applyFont="1" applyFill="1" applyBorder="1" applyAlignment="1">
      <alignment vertical="center" shrinkToFit="1"/>
    </xf>
    <xf numFmtId="3" fontId="24" fillId="8" borderId="15" xfId="0" applyNumberFormat="1" applyFont="1" applyFill="1" applyBorder="1" applyAlignment="1">
      <alignment horizontal="right" vertical="center" shrinkToFit="1"/>
    </xf>
    <xf numFmtId="1" fontId="17" fillId="0" borderId="15" xfId="0" applyNumberFormat="1" applyFont="1" applyFill="1" applyBorder="1" applyAlignment="1">
      <alignment horizontal="center" vertical="center" shrinkToFit="1"/>
    </xf>
    <xf numFmtId="49" fontId="30" fillId="0" borderId="15" xfId="0" applyNumberFormat="1" applyFont="1" applyFill="1" applyBorder="1" applyAlignment="1">
      <alignment vertical="center" shrinkToFit="1"/>
    </xf>
    <xf numFmtId="41" fontId="30" fillId="0" borderId="15" xfId="0" applyNumberFormat="1" applyFont="1" applyFill="1" applyBorder="1" applyAlignment="1">
      <alignment vertical="center" shrinkToFit="1"/>
    </xf>
    <xf numFmtId="41" fontId="23" fillId="0" borderId="15" xfId="0" applyNumberFormat="1" applyFont="1" applyBorder="1" applyAlignment="1">
      <alignment horizontal="right"/>
    </xf>
    <xf numFmtId="1" fontId="19" fillId="8" borderId="15" xfId="0" applyNumberFormat="1" applyFont="1" applyFill="1" applyBorder="1" applyAlignment="1">
      <alignment horizontal="center" vertical="center" shrinkToFit="1"/>
    </xf>
    <xf numFmtId="41" fontId="24" fillId="8" borderId="15" xfId="0" applyNumberFormat="1" applyFont="1" applyFill="1" applyBorder="1"/>
    <xf numFmtId="49" fontId="45" fillId="9" borderId="15" xfId="0" applyNumberFormat="1" applyFont="1" applyFill="1" applyBorder="1" applyAlignment="1">
      <alignment vertical="center" shrinkToFit="1"/>
    </xf>
    <xf numFmtId="41" fontId="45" fillId="9" borderId="15" xfId="0" applyNumberFormat="1" applyFont="1" applyFill="1" applyBorder="1" applyAlignment="1">
      <alignment vertical="center" shrinkToFit="1"/>
    </xf>
    <xf numFmtId="3" fontId="23" fillId="9" borderId="15" xfId="0" applyNumberFormat="1" applyFont="1" applyFill="1" applyBorder="1" applyAlignment="1">
      <alignment horizontal="right" vertical="center" shrinkToFit="1"/>
    </xf>
    <xf numFmtId="49" fontId="30" fillId="3" borderId="15" xfId="0" applyNumberFormat="1" applyFont="1" applyFill="1" applyBorder="1" applyAlignment="1">
      <alignment vertical="center" shrinkToFit="1"/>
    </xf>
    <xf numFmtId="41" fontId="30" fillId="3" borderId="15" xfId="0" applyNumberFormat="1" applyFont="1" applyFill="1" applyBorder="1" applyAlignment="1">
      <alignment vertical="center" shrinkToFit="1"/>
    </xf>
    <xf numFmtId="49" fontId="45" fillId="11" borderId="15" xfId="0" applyNumberFormat="1" applyFont="1" applyFill="1" applyBorder="1" applyAlignment="1">
      <alignment vertical="center" shrinkToFit="1"/>
    </xf>
    <xf numFmtId="41" fontId="45" fillId="11" borderId="15" xfId="0" applyNumberFormat="1" applyFont="1" applyFill="1" applyBorder="1" applyAlignment="1">
      <alignment vertical="center" shrinkToFit="1"/>
    </xf>
    <xf numFmtId="3" fontId="23" fillId="11" borderId="15" xfId="0" applyNumberFormat="1" applyFont="1" applyFill="1" applyBorder="1" applyAlignment="1">
      <alignment horizontal="right" vertical="center" shrinkToFit="1"/>
    </xf>
    <xf numFmtId="49" fontId="24" fillId="0" borderId="15" xfId="0" applyNumberFormat="1" applyFont="1" applyFill="1" applyBorder="1" applyAlignment="1">
      <alignment vertical="center" wrapText="1"/>
    </xf>
    <xf numFmtId="41" fontId="24" fillId="0" borderId="15" xfId="0" applyNumberFormat="1" applyFont="1" applyFill="1" applyBorder="1" applyAlignment="1">
      <alignment vertical="center" wrapText="1"/>
    </xf>
    <xf numFmtId="49" fontId="59" fillId="8" borderId="15" xfId="0" applyNumberFormat="1" applyFont="1" applyFill="1" applyBorder="1" applyAlignment="1">
      <alignment vertical="center" shrinkToFit="1"/>
    </xf>
    <xf numFmtId="41" fontId="59" fillId="8" borderId="15" xfId="0" applyNumberFormat="1" applyFont="1" applyFill="1" applyBorder="1" applyAlignment="1">
      <alignment vertical="center" shrinkToFit="1"/>
    </xf>
    <xf numFmtId="3" fontId="23" fillId="8" borderId="15" xfId="0" applyNumberFormat="1" applyFont="1" applyFill="1" applyBorder="1" applyAlignment="1">
      <alignment horizontal="right" vertical="center" shrinkToFit="1"/>
    </xf>
    <xf numFmtId="49" fontId="59" fillId="0" borderId="15" xfId="0" applyNumberFormat="1" applyFont="1" applyFill="1" applyBorder="1" applyAlignment="1">
      <alignment vertical="center" shrinkToFit="1"/>
    </xf>
    <xf numFmtId="0" fontId="17" fillId="0" borderId="15" xfId="0" applyFont="1" applyFill="1" applyBorder="1" applyAlignment="1">
      <alignment horizontal="center" vertical="center" shrinkToFit="1"/>
    </xf>
    <xf numFmtId="41" fontId="59" fillId="0" borderId="15" xfId="0" applyNumberFormat="1" applyFont="1" applyFill="1" applyBorder="1" applyAlignment="1">
      <alignment vertical="center" shrinkToFit="1"/>
    </xf>
    <xf numFmtId="0" fontId="17" fillId="8" borderId="15" xfId="0" applyFont="1" applyFill="1" applyBorder="1"/>
    <xf numFmtId="41" fontId="17" fillId="8" borderId="15" xfId="0" applyNumberFormat="1" applyFont="1" applyFill="1" applyBorder="1"/>
    <xf numFmtId="41" fontId="17" fillId="3" borderId="15" xfId="0" applyNumberFormat="1" applyFont="1" applyFill="1" applyBorder="1"/>
    <xf numFmtId="0" fontId="5" fillId="8" borderId="15" xfId="0" applyFont="1" applyFill="1" applyBorder="1" applyAlignment="1">
      <alignment vertical="center" shrinkToFit="1"/>
    </xf>
    <xf numFmtId="0" fontId="19" fillId="8" borderId="15" xfId="0" applyFont="1" applyFill="1" applyBorder="1" applyAlignment="1">
      <alignment horizontal="center" vertical="center" shrinkToFit="1"/>
    </xf>
    <xf numFmtId="0" fontId="24" fillId="8" borderId="15" xfId="0" applyFont="1" applyFill="1" applyBorder="1" applyAlignment="1">
      <alignment horizontal="left" vertical="center" shrinkToFit="1"/>
    </xf>
    <xf numFmtId="41" fontId="24" fillId="8" borderId="15" xfId="0" applyNumberFormat="1" applyFont="1" applyFill="1" applyBorder="1" applyAlignment="1">
      <alignment horizontal="left" vertical="center" shrinkToFit="1"/>
    </xf>
    <xf numFmtId="0" fontId="23" fillId="0" borderId="15" xfId="0" applyFont="1" applyBorder="1"/>
    <xf numFmtId="49" fontId="23" fillId="0" borderId="15" xfId="0" applyNumberFormat="1" applyFont="1" applyFill="1" applyBorder="1" applyAlignment="1">
      <alignment vertical="center" wrapText="1"/>
    </xf>
    <xf numFmtId="41" fontId="23" fillId="0" borderId="15" xfId="0" applyNumberFormat="1" applyFont="1" applyFill="1" applyBorder="1" applyAlignment="1">
      <alignment vertical="center" wrapText="1"/>
    </xf>
    <xf numFmtId="49" fontId="59" fillId="3" borderId="15" xfId="0" applyNumberFormat="1" applyFont="1" applyFill="1" applyBorder="1" applyAlignment="1">
      <alignment vertical="center" shrinkToFit="1"/>
    </xf>
    <xf numFmtId="41" fontId="59" fillId="3" borderId="15" xfId="0" applyNumberFormat="1" applyFont="1" applyFill="1" applyBorder="1" applyAlignment="1">
      <alignment vertical="center" shrinkToFit="1"/>
    </xf>
    <xf numFmtId="41" fontId="4" fillId="0" borderId="15" xfId="0" applyNumberFormat="1" applyFont="1" applyFill="1" applyBorder="1" applyAlignment="1">
      <alignment horizontal="left" vertical="center" shrinkToFit="1"/>
    </xf>
    <xf numFmtId="3" fontId="5" fillId="0" borderId="15" xfId="0" applyNumberFormat="1" applyFont="1" applyFill="1" applyBorder="1" applyAlignment="1">
      <alignment horizontal="right" vertical="center" shrinkToFit="1"/>
    </xf>
    <xf numFmtId="49" fontId="17" fillId="0" borderId="15" xfId="0" applyNumberFormat="1" applyFont="1" applyFill="1" applyBorder="1" applyAlignment="1">
      <alignment horizontal="left" vertical="center" indent="1" shrinkToFit="1"/>
    </xf>
    <xf numFmtId="41" fontId="17" fillId="0" borderId="15" xfId="0" applyNumberFormat="1" applyFont="1" applyFill="1" applyBorder="1" applyAlignment="1">
      <alignment horizontal="left" vertical="center" indent="1" shrinkToFit="1"/>
    </xf>
    <xf numFmtId="3" fontId="17" fillId="0" borderId="15" xfId="0" applyNumberFormat="1" applyFont="1" applyFill="1" applyBorder="1" applyAlignment="1">
      <alignment horizontal="right" vertical="center" shrinkToFit="1"/>
    </xf>
    <xf numFmtId="1" fontId="17" fillId="0" borderId="15" xfId="0" quotePrefix="1" applyNumberFormat="1" applyFont="1" applyFill="1" applyBorder="1" applyAlignment="1">
      <alignment horizontal="center" vertical="center" shrinkToFit="1"/>
    </xf>
    <xf numFmtId="49" fontId="23" fillId="0" borderId="15" xfId="0" applyNumberFormat="1" applyFont="1" applyFill="1" applyBorder="1" applyAlignment="1">
      <alignment horizontal="justify" vertical="center" shrinkToFit="1"/>
    </xf>
    <xf numFmtId="41" fontId="23" fillId="0" borderId="15" xfId="0" applyNumberFormat="1" applyFont="1" applyFill="1" applyBorder="1" applyAlignment="1">
      <alignment horizontal="justify" vertical="center" shrinkToFit="1"/>
    </xf>
    <xf numFmtId="1" fontId="19" fillId="0" borderId="15" xfId="0" applyNumberFormat="1" applyFont="1" applyFill="1" applyBorder="1" applyAlignment="1">
      <alignment horizontal="center" vertical="center" shrinkToFit="1"/>
    </xf>
    <xf numFmtId="41" fontId="30" fillId="0" borderId="15" xfId="0" applyNumberFormat="1" applyFont="1" applyBorder="1"/>
    <xf numFmtId="41" fontId="4" fillId="0" borderId="15" xfId="0" applyNumberFormat="1" applyFont="1" applyFill="1" applyBorder="1" applyAlignment="1">
      <alignment vertical="center" shrinkToFit="1"/>
    </xf>
    <xf numFmtId="49" fontId="5" fillId="0" borderId="15" xfId="0" applyNumberFormat="1" applyFont="1" applyFill="1" applyBorder="1" applyAlignment="1">
      <alignment horizontal="center" vertical="center" shrinkToFit="1"/>
    </xf>
    <xf numFmtId="3" fontId="19" fillId="6" borderId="45" xfId="2" applyNumberFormat="1" applyFont="1" applyFill="1" applyBorder="1" applyAlignment="1">
      <alignment horizontal="right" vertical="center"/>
    </xf>
    <xf numFmtId="3" fontId="19" fillId="6" borderId="46" xfId="2" applyNumberFormat="1" applyFont="1" applyFill="1" applyBorder="1" applyAlignment="1">
      <alignment horizontal="right" vertical="center"/>
    </xf>
    <xf numFmtId="3" fontId="19" fillId="6" borderId="5" xfId="2" applyNumberFormat="1" applyFont="1" applyFill="1" applyBorder="1" applyAlignment="1">
      <alignment horizontal="right" vertical="center"/>
    </xf>
    <xf numFmtId="4" fontId="19" fillId="6" borderId="47" xfId="2" applyNumberFormat="1" applyFont="1" applyFill="1" applyBorder="1" applyAlignment="1">
      <alignment horizontal="right" vertical="center"/>
    </xf>
    <xf numFmtId="3" fontId="19" fillId="6" borderId="35" xfId="2" applyNumberFormat="1" applyFont="1" applyFill="1" applyBorder="1" applyAlignment="1">
      <alignment horizontal="right" vertical="center"/>
    </xf>
    <xf numFmtId="3" fontId="19" fillId="6" borderId="89" xfId="2" applyNumberFormat="1" applyFont="1" applyFill="1" applyBorder="1" applyAlignment="1">
      <alignment horizontal="right" vertical="center"/>
    </xf>
    <xf numFmtId="3" fontId="19" fillId="22" borderId="82" xfId="2" applyNumberFormat="1" applyFont="1" applyFill="1" applyBorder="1" applyAlignment="1">
      <alignment horizontal="right" vertical="center"/>
    </xf>
    <xf numFmtId="41" fontId="19" fillId="22" borderId="82" xfId="2" applyNumberFormat="1" applyFont="1" applyFill="1" applyBorder="1" applyAlignment="1">
      <alignment horizontal="right" vertical="center"/>
    </xf>
    <xf numFmtId="3" fontId="19" fillId="22" borderId="82" xfId="2" applyNumberFormat="1" applyFont="1" applyFill="1" applyBorder="1" applyAlignment="1">
      <alignment vertical="center"/>
    </xf>
    <xf numFmtId="4" fontId="19" fillId="22" borderId="82" xfId="2" applyNumberFormat="1" applyFont="1" applyFill="1" applyBorder="1" applyAlignment="1">
      <alignment horizontal="right" vertical="center"/>
    </xf>
    <xf numFmtId="3" fontId="9" fillId="22" borderId="82" xfId="2" applyNumberFormat="1" applyFont="1" applyFill="1" applyBorder="1" applyAlignment="1">
      <alignment horizontal="center" vertical="center"/>
    </xf>
    <xf numFmtId="3" fontId="51" fillId="22" borderId="82" xfId="2" quotePrefix="1" applyNumberFormat="1" applyFont="1" applyFill="1" applyBorder="1" applyAlignment="1">
      <alignment horizontal="center" vertical="center"/>
    </xf>
    <xf numFmtId="3" fontId="48" fillId="22" borderId="82" xfId="2" applyNumberFormat="1" applyFont="1" applyFill="1" applyBorder="1" applyAlignment="1">
      <alignment vertical="center"/>
    </xf>
    <xf numFmtId="3" fontId="51" fillId="22" borderId="82" xfId="2" applyNumberFormat="1" applyFont="1" applyFill="1" applyBorder="1" applyAlignment="1">
      <alignment vertical="center"/>
    </xf>
    <xf numFmtId="4" fontId="48" fillId="22" borderId="82" xfId="2" applyNumberFormat="1" applyFont="1" applyFill="1" applyBorder="1" applyAlignment="1">
      <alignment vertical="center"/>
    </xf>
    <xf numFmtId="3" fontId="10" fillId="22" borderId="82" xfId="2" applyNumberFormat="1" applyFont="1" applyFill="1" applyBorder="1" applyAlignment="1">
      <alignment horizontal="center" vertical="center"/>
    </xf>
    <xf numFmtId="3" fontId="48" fillId="22" borderId="82" xfId="2" quotePrefix="1" applyNumberFormat="1" applyFont="1" applyFill="1" applyBorder="1" applyAlignment="1">
      <alignment horizontal="center" vertical="center"/>
    </xf>
    <xf numFmtId="3" fontId="57" fillId="22" borderId="82" xfId="2" applyNumberFormat="1" applyFont="1" applyFill="1" applyBorder="1" applyAlignment="1">
      <alignment horizontal="center" vertical="center"/>
    </xf>
    <xf numFmtId="3" fontId="8" fillId="22" borderId="82" xfId="2" applyNumberFormat="1" applyFont="1" applyFill="1" applyBorder="1" applyAlignment="1">
      <alignment vertical="center"/>
    </xf>
    <xf numFmtId="3" fontId="17" fillId="22" borderId="82" xfId="2" applyNumberFormat="1" applyFont="1" applyFill="1" applyBorder="1" applyAlignment="1">
      <alignment vertical="center"/>
    </xf>
    <xf numFmtId="3" fontId="24" fillId="5" borderId="15" xfId="0" applyNumberFormat="1" applyFont="1" applyFill="1" applyBorder="1" applyAlignment="1">
      <alignment horizontal="center" vertical="center"/>
    </xf>
    <xf numFmtId="41" fontId="58" fillId="0" borderId="0" xfId="0" applyNumberFormat="1" applyFont="1" applyFill="1" applyBorder="1" applyAlignment="1">
      <alignment horizontal="justify" vertical="center" shrinkToFit="1"/>
    </xf>
    <xf numFmtId="2" fontId="19" fillId="6" borderId="82" xfId="2" applyNumberFormat="1" applyFont="1" applyFill="1" applyBorder="1" applyAlignment="1">
      <alignment horizontal="right" vertical="center"/>
    </xf>
    <xf numFmtId="3" fontId="51" fillId="6" borderId="82" xfId="2" applyNumberFormat="1" applyFont="1" applyFill="1" applyBorder="1" applyAlignment="1">
      <alignment horizontal="right" vertical="center"/>
    </xf>
    <xf numFmtId="2" fontId="51" fillId="6" borderId="82" xfId="2" applyNumberFormat="1" applyFont="1" applyFill="1" applyBorder="1" applyAlignment="1">
      <alignment horizontal="right" vertical="center"/>
    </xf>
    <xf numFmtId="2" fontId="24" fillId="0" borderId="15" xfId="0" applyNumberFormat="1" applyFont="1" applyFill="1" applyBorder="1" applyAlignment="1">
      <alignment horizontal="center" vertical="center" wrapText="1" shrinkToFit="1"/>
    </xf>
    <xf numFmtId="2" fontId="24" fillId="8" borderId="15" xfId="0" applyNumberFormat="1" applyFont="1" applyFill="1" applyBorder="1" applyAlignment="1">
      <alignment horizontal="left" vertical="center" wrapText="1" shrinkToFit="1"/>
    </xf>
    <xf numFmtId="2" fontId="24" fillId="8" borderId="15" xfId="0" applyNumberFormat="1" applyFont="1" applyFill="1" applyBorder="1" applyAlignment="1">
      <alignment vertical="center" wrapText="1"/>
    </xf>
    <xf numFmtId="2" fontId="24" fillId="8" borderId="15" xfId="0" applyNumberFormat="1" applyFont="1" applyFill="1" applyBorder="1" applyAlignment="1">
      <alignment vertical="center" wrapText="1" shrinkToFit="1"/>
    </xf>
    <xf numFmtId="0" fontId="23" fillId="0" borderId="0" xfId="0" applyFont="1"/>
    <xf numFmtId="0" fontId="23" fillId="0" borderId="22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112" fillId="17" borderId="1" xfId="0" applyFont="1" applyFill="1" applyBorder="1" applyAlignment="1">
      <alignment horizontal="center" vertical="top" wrapText="1"/>
    </xf>
    <xf numFmtId="0" fontId="112" fillId="17" borderId="0" xfId="0" applyFont="1" applyFill="1" applyBorder="1" applyAlignment="1">
      <alignment horizontal="center" vertical="top" wrapText="1"/>
    </xf>
    <xf numFmtId="0" fontId="112" fillId="17" borderId="39" xfId="0" applyFont="1" applyFill="1" applyBorder="1" applyAlignment="1">
      <alignment horizontal="center" vertical="top" wrapText="1"/>
    </xf>
    <xf numFmtId="0" fontId="23" fillId="0" borderId="0" xfId="0" applyFont="1" applyBorder="1" applyAlignment="1">
      <alignment horizontal="left" vertical="top" wrapText="1"/>
    </xf>
    <xf numFmtId="3" fontId="23" fillId="0" borderId="0" xfId="0" applyNumberFormat="1" applyFont="1" applyBorder="1" applyAlignment="1">
      <alignment horizontal="right" vertical="top" wrapText="1"/>
    </xf>
    <xf numFmtId="0" fontId="23" fillId="0" borderId="4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left" vertical="top" wrapText="1"/>
    </xf>
    <xf numFmtId="3" fontId="23" fillId="0" borderId="18" xfId="0" applyNumberFormat="1" applyFont="1" applyBorder="1" applyAlignment="1">
      <alignment horizontal="right" vertical="top" wrapText="1"/>
    </xf>
    <xf numFmtId="3" fontId="23" fillId="0" borderId="36" xfId="0" applyNumberFormat="1" applyFont="1" applyBorder="1" applyAlignment="1">
      <alignment horizontal="right" vertical="top" wrapText="1"/>
    </xf>
    <xf numFmtId="0" fontId="112" fillId="17" borderId="82" xfId="0" applyFont="1" applyFill="1" applyBorder="1" applyAlignment="1">
      <alignment horizontal="center" vertical="top" wrapText="1"/>
    </xf>
    <xf numFmtId="0" fontId="24" fillId="0" borderId="82" xfId="0" applyFont="1" applyBorder="1" applyAlignment="1">
      <alignment horizontal="center" vertical="top" wrapText="1"/>
    </xf>
    <xf numFmtId="0" fontId="24" fillId="0" borderId="82" xfId="0" applyFont="1" applyBorder="1" applyAlignment="1">
      <alignment horizontal="left" vertical="top" wrapText="1"/>
    </xf>
    <xf numFmtId="3" fontId="24" fillId="0" borderId="82" xfId="0" applyNumberFormat="1" applyFont="1" applyBorder="1" applyAlignment="1">
      <alignment horizontal="right" vertical="top" wrapText="1"/>
    </xf>
    <xf numFmtId="0" fontId="23" fillId="0" borderId="82" xfId="0" applyFont="1" applyBorder="1" applyAlignment="1">
      <alignment horizontal="center" vertical="top" wrapText="1"/>
    </xf>
    <xf numFmtId="0" fontId="23" fillId="0" borderId="82" xfId="0" applyFont="1" applyBorder="1" applyAlignment="1">
      <alignment horizontal="left" vertical="top" wrapText="1"/>
    </xf>
    <xf numFmtId="3" fontId="23" fillId="0" borderId="82" xfId="0" applyNumberFormat="1" applyFont="1" applyBorder="1" applyAlignment="1">
      <alignment horizontal="right" vertical="top" wrapText="1"/>
    </xf>
    <xf numFmtId="0" fontId="23" fillId="0" borderId="22" xfId="0" applyFont="1" applyBorder="1"/>
    <xf numFmtId="0" fontId="23" fillId="0" borderId="34" xfId="0" applyFont="1" applyBorder="1"/>
    <xf numFmtId="0" fontId="23" fillId="0" borderId="0" xfId="0" applyFont="1" applyBorder="1" applyAlignment="1">
      <alignment horizontal="center" vertical="top" wrapText="1"/>
    </xf>
    <xf numFmtId="0" fontId="23" fillId="0" borderId="4" xfId="0" applyFont="1" applyBorder="1"/>
    <xf numFmtId="0" fontId="23" fillId="0" borderId="18" xfId="0" applyFont="1" applyBorder="1"/>
    <xf numFmtId="0" fontId="23" fillId="0" borderId="36" xfId="0" applyFont="1" applyBorder="1"/>
    <xf numFmtId="4" fontId="18" fillId="3" borderId="0" xfId="2" applyNumberFormat="1" applyFont="1" applyFill="1" applyBorder="1" applyAlignment="1">
      <alignment horizontal="right" vertical="center"/>
    </xf>
    <xf numFmtId="4" fontId="18" fillId="3" borderId="18" xfId="2" applyNumberFormat="1" applyFont="1" applyFill="1" applyBorder="1" applyAlignment="1">
      <alignment horizontal="right" vertical="center"/>
    </xf>
    <xf numFmtId="4" fontId="19" fillId="11" borderId="34" xfId="2" applyNumberFormat="1" applyFont="1" applyFill="1" applyBorder="1" applyAlignment="1">
      <alignment horizontal="right" vertical="center"/>
    </xf>
    <xf numFmtId="4" fontId="19" fillId="11" borderId="53" xfId="2" applyNumberFormat="1" applyFont="1" applyFill="1" applyBorder="1" applyAlignment="1">
      <alignment horizontal="right" vertical="center"/>
    </xf>
    <xf numFmtId="4" fontId="19" fillId="9" borderId="50" xfId="2" applyNumberFormat="1" applyFont="1" applyFill="1" applyBorder="1" applyAlignment="1">
      <alignment horizontal="right" vertical="center"/>
    </xf>
    <xf numFmtId="2" fontId="17" fillId="0" borderId="0" xfId="2" applyNumberFormat="1" applyFont="1" applyFill="1" applyAlignment="1">
      <alignment vertical="center"/>
    </xf>
    <xf numFmtId="2" fontId="19" fillId="0" borderId="0" xfId="2" applyNumberFormat="1" applyFont="1" applyFill="1" applyAlignment="1">
      <alignment horizontal="right" vertical="center"/>
    </xf>
    <xf numFmtId="2" fontId="18" fillId="0" borderId="0" xfId="2" applyNumberFormat="1" applyFont="1" applyFill="1" applyAlignment="1">
      <alignment horizontal="right" vertical="center"/>
    </xf>
    <xf numFmtId="2" fontId="69" fillId="0" borderId="0" xfId="2" applyNumberFormat="1" applyFont="1" applyFill="1" applyAlignment="1">
      <alignment vertical="center"/>
    </xf>
    <xf numFmtId="4" fontId="18" fillId="0" borderId="0" xfId="2" applyNumberFormat="1" applyFont="1" applyFill="1" applyAlignment="1">
      <alignment horizontal="right" vertical="center"/>
    </xf>
    <xf numFmtId="3" fontId="17" fillId="0" borderId="15" xfId="2" applyNumberFormat="1" applyFont="1" applyFill="1" applyBorder="1" applyAlignment="1">
      <alignment vertical="center" shrinkToFit="1"/>
    </xf>
    <xf numFmtId="3" fontId="17" fillId="3" borderId="72" xfId="2" applyNumberFormat="1" applyFont="1" applyFill="1" applyBorder="1" applyAlignment="1">
      <alignment horizontal="right" vertical="center"/>
    </xf>
    <xf numFmtId="3" fontId="17" fillId="3" borderId="59" xfId="2" applyNumberFormat="1" applyFont="1" applyFill="1" applyBorder="1" applyAlignment="1">
      <alignment horizontal="right" vertical="center"/>
    </xf>
    <xf numFmtId="3" fontId="19" fillId="3" borderId="62" xfId="2" applyNumberFormat="1" applyFont="1" applyFill="1" applyBorder="1" applyAlignment="1">
      <alignment horizontal="right" vertical="center"/>
    </xf>
    <xf numFmtId="3" fontId="48" fillId="0" borderId="15" xfId="2" applyNumberFormat="1" applyFont="1" applyFill="1" applyBorder="1" applyAlignment="1">
      <alignment vertical="center" shrinkToFit="1"/>
    </xf>
    <xf numFmtId="3" fontId="48" fillId="3" borderId="15" xfId="2" applyNumberFormat="1" applyFont="1" applyFill="1" applyBorder="1" applyAlignment="1">
      <alignment vertical="center" shrinkToFit="1"/>
    </xf>
    <xf numFmtId="3" fontId="19" fillId="0" borderId="0" xfId="2" applyNumberFormat="1" applyFont="1" applyFill="1" applyAlignment="1">
      <alignment vertical="center"/>
    </xf>
    <xf numFmtId="3" fontId="48" fillId="3" borderId="13" xfId="2" applyNumberFormat="1" applyFont="1" applyFill="1" applyBorder="1" applyAlignment="1">
      <alignment horizontal="right" vertical="center"/>
    </xf>
    <xf numFmtId="1" fontId="60" fillId="3" borderId="13" xfId="2" applyNumberFormat="1" applyFont="1" applyFill="1" applyBorder="1" applyAlignment="1">
      <alignment horizontal="right" vertical="center"/>
    </xf>
    <xf numFmtId="1" fontId="57" fillId="3" borderId="15" xfId="2" applyNumberFormat="1" applyFont="1" applyFill="1" applyBorder="1" applyAlignment="1">
      <alignment horizontal="right" vertical="center"/>
    </xf>
    <xf numFmtId="3" fontId="17" fillId="3" borderId="16" xfId="2" applyNumberFormat="1" applyFont="1" applyFill="1" applyBorder="1" applyAlignment="1">
      <alignment vertical="center" shrinkToFit="1"/>
    </xf>
    <xf numFmtId="1" fontId="57" fillId="3" borderId="13" xfId="2" applyNumberFormat="1" applyFont="1" applyFill="1" applyBorder="1" applyAlignment="1">
      <alignment horizontal="right" vertical="center"/>
    </xf>
    <xf numFmtId="3" fontId="19" fillId="3" borderId="9" xfId="2" applyNumberFormat="1" applyFont="1" applyFill="1" applyBorder="1" applyAlignment="1">
      <alignment horizontal="left" wrapText="1"/>
    </xf>
    <xf numFmtId="1" fontId="60" fillId="3" borderId="52" xfId="2" applyNumberFormat="1" applyFont="1" applyFill="1" applyBorder="1" applyAlignment="1">
      <alignment horizontal="right" vertical="center"/>
    </xf>
    <xf numFmtId="3" fontId="48" fillId="3" borderId="82" xfId="2" applyNumberFormat="1" applyFont="1" applyFill="1" applyBorder="1" applyAlignment="1">
      <alignment horizontal="left"/>
    </xf>
    <xf numFmtId="3" fontId="19" fillId="3" borderId="32" xfId="2" applyNumberFormat="1" applyFont="1" applyFill="1" applyBorder="1" applyAlignment="1">
      <alignment horizontal="right" vertical="center"/>
    </xf>
    <xf numFmtId="3" fontId="8" fillId="3" borderId="15" xfId="2" applyNumberFormat="1" applyFont="1" applyFill="1" applyBorder="1" applyAlignment="1">
      <alignment vertical="center"/>
    </xf>
    <xf numFmtId="1" fontId="60" fillId="3" borderId="15" xfId="2" applyNumberFormat="1" applyFont="1" applyFill="1" applyBorder="1" applyAlignment="1">
      <alignment horizontal="right" vertical="center"/>
    </xf>
    <xf numFmtId="0" fontId="17" fillId="3" borderId="0" xfId="7" applyFont="1" applyFill="1" applyAlignment="1"/>
    <xf numFmtId="3" fontId="17" fillId="3" borderId="0" xfId="7" applyNumberFormat="1" applyFont="1" applyFill="1" applyAlignment="1"/>
    <xf numFmtId="3" fontId="63" fillId="3" borderId="0" xfId="7" applyNumberFormat="1" applyFont="1" applyFill="1" applyAlignment="1"/>
    <xf numFmtId="3" fontId="17" fillId="3" borderId="0" xfId="7" applyNumberFormat="1" applyFont="1" applyFill="1" applyAlignment="1">
      <alignment horizontal="right"/>
    </xf>
    <xf numFmtId="0" fontId="17" fillId="0" borderId="15" xfId="0" applyFont="1" applyBorder="1" applyAlignment="1">
      <alignment horizontal="left" vertical="top" wrapText="1"/>
    </xf>
    <xf numFmtId="3" fontId="17" fillId="3" borderId="15" xfId="7" applyNumberFormat="1" applyFont="1" applyFill="1" applyBorder="1" applyAlignment="1">
      <alignment horizontal="right" vertical="center"/>
    </xf>
    <xf numFmtId="3" fontId="19" fillId="3" borderId="15" xfId="7" applyNumberFormat="1" applyFont="1" applyFill="1" applyBorder="1" applyAlignment="1">
      <alignment horizontal="right" vertical="center"/>
    </xf>
    <xf numFmtId="3" fontId="19" fillId="16" borderId="15" xfId="7" applyNumberFormat="1" applyFont="1" applyFill="1" applyBorder="1" applyAlignment="1">
      <alignment horizontal="right" vertical="center"/>
    </xf>
    <xf numFmtId="0" fontId="19" fillId="0" borderId="13" xfId="0" applyFont="1" applyBorder="1" applyAlignment="1">
      <alignment horizontal="left" vertical="top" wrapText="1"/>
    </xf>
    <xf numFmtId="3" fontId="19" fillId="3" borderId="62" xfId="7" applyNumberFormat="1" applyFont="1" applyFill="1" applyBorder="1" applyAlignment="1">
      <alignment vertical="center"/>
    </xf>
    <xf numFmtId="3" fontId="19" fillId="3" borderId="15" xfId="7" applyNumberFormat="1" applyFont="1" applyFill="1" applyBorder="1" applyAlignment="1">
      <alignment vertical="center"/>
    </xf>
    <xf numFmtId="0" fontId="17" fillId="0" borderId="6" xfId="0" applyFont="1" applyBorder="1" applyAlignment="1">
      <alignment horizontal="left" vertical="top" wrapText="1"/>
    </xf>
    <xf numFmtId="3" fontId="17" fillId="0" borderId="15" xfId="0" applyNumberFormat="1" applyFont="1" applyBorder="1" applyAlignment="1">
      <alignment horizontal="right" vertical="top" wrapText="1"/>
    </xf>
    <xf numFmtId="3" fontId="17" fillId="3" borderId="15" xfId="7" applyNumberFormat="1" applyFont="1" applyFill="1" applyBorder="1" applyAlignment="1">
      <alignment vertical="center"/>
    </xf>
    <xf numFmtId="0" fontId="17" fillId="0" borderId="59" xfId="0" applyFont="1" applyBorder="1" applyAlignment="1">
      <alignment horizontal="left" vertical="top" wrapText="1"/>
    </xf>
    <xf numFmtId="3" fontId="17" fillId="0" borderId="52" xfId="0" applyNumberFormat="1" applyFont="1" applyBorder="1" applyAlignment="1">
      <alignment horizontal="right" vertical="top" wrapText="1"/>
    </xf>
    <xf numFmtId="3" fontId="17" fillId="0" borderId="0" xfId="0" applyNumberFormat="1" applyFont="1" applyAlignment="1">
      <alignment horizontal="right" vertical="top" wrapText="1"/>
    </xf>
    <xf numFmtId="3" fontId="17" fillId="3" borderId="13" xfId="7" applyNumberFormat="1" applyFont="1" applyFill="1" applyBorder="1" applyAlignment="1">
      <alignment vertical="center"/>
    </xf>
    <xf numFmtId="0" fontId="19" fillId="0" borderId="59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5" borderId="59" xfId="0" applyFont="1" applyFill="1" applyBorder="1" applyAlignment="1">
      <alignment horizontal="left" vertical="top" wrapText="1"/>
    </xf>
    <xf numFmtId="3" fontId="19" fillId="5" borderId="15" xfId="7" applyNumberFormat="1" applyFont="1" applyFill="1" applyBorder="1" applyAlignment="1">
      <alignment vertical="center"/>
    </xf>
    <xf numFmtId="3" fontId="19" fillId="5" borderId="15" xfId="7" applyNumberFormat="1" applyFont="1" applyFill="1" applyBorder="1" applyAlignment="1">
      <alignment horizontal="right" vertical="center"/>
    </xf>
    <xf numFmtId="0" fontId="19" fillId="5" borderId="62" xfId="0" applyFont="1" applyFill="1" applyBorder="1" applyAlignment="1">
      <alignment horizontal="left" vertical="top" wrapText="1"/>
    </xf>
    <xf numFmtId="3" fontId="17" fillId="5" borderId="15" xfId="7" applyNumberFormat="1" applyFont="1" applyFill="1" applyBorder="1" applyAlignment="1">
      <alignment vertical="center"/>
    </xf>
    <xf numFmtId="0" fontId="19" fillId="0" borderId="62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3" fontId="17" fillId="0" borderId="16" xfId="0" applyNumberFormat="1" applyFont="1" applyBorder="1" applyAlignment="1">
      <alignment horizontal="right" vertical="top" wrapText="1"/>
    </xf>
    <xf numFmtId="3" fontId="17" fillId="3" borderId="62" xfId="7" applyNumberFormat="1" applyFont="1" applyFill="1" applyBorder="1" applyAlignment="1">
      <alignment vertical="center"/>
    </xf>
    <xf numFmtId="3" fontId="19" fillId="5" borderId="62" xfId="7" applyNumberFormat="1" applyFont="1" applyFill="1" applyBorder="1" applyAlignment="1">
      <alignment vertical="center"/>
    </xf>
    <xf numFmtId="3" fontId="17" fillId="0" borderId="9" xfId="0" applyNumberFormat="1" applyFont="1" applyBorder="1" applyAlignment="1">
      <alignment horizontal="right" vertical="top" wrapText="1"/>
    </xf>
    <xf numFmtId="0" fontId="17" fillId="0" borderId="74" xfId="0" applyFont="1" applyBorder="1" applyAlignment="1">
      <alignment horizontal="left" vertical="top" wrapText="1"/>
    </xf>
    <xf numFmtId="3" fontId="17" fillId="0" borderId="82" xfId="0" applyNumberFormat="1" applyFont="1" applyBorder="1" applyAlignment="1">
      <alignment horizontal="right" vertical="top" wrapText="1"/>
    </xf>
    <xf numFmtId="3" fontId="17" fillId="3" borderId="62" xfId="7" applyNumberFormat="1" applyFont="1" applyFill="1" applyBorder="1" applyAlignment="1">
      <alignment horizontal="right" vertical="center"/>
    </xf>
    <xf numFmtId="3" fontId="17" fillId="0" borderId="13" xfId="0" applyNumberFormat="1" applyFont="1" applyBorder="1" applyAlignment="1">
      <alignment horizontal="right" vertical="top" wrapText="1"/>
    </xf>
    <xf numFmtId="3" fontId="17" fillId="5" borderId="62" xfId="7" applyNumberFormat="1" applyFont="1" applyFill="1" applyBorder="1" applyAlignment="1">
      <alignment vertical="center"/>
    </xf>
    <xf numFmtId="0" fontId="19" fillId="5" borderId="0" xfId="0" applyFont="1" applyFill="1" applyAlignment="1">
      <alignment horizontal="left" vertical="top" wrapText="1"/>
    </xf>
    <xf numFmtId="0" fontId="19" fillId="11" borderId="59" xfId="0" applyFont="1" applyFill="1" applyBorder="1" applyAlignment="1">
      <alignment horizontal="left" vertical="top" wrapText="1"/>
    </xf>
    <xf numFmtId="3" fontId="17" fillId="11" borderId="15" xfId="7" applyNumberFormat="1" applyFont="1" applyFill="1" applyBorder="1" applyAlignment="1">
      <alignment vertical="center"/>
    </xf>
    <xf numFmtId="3" fontId="17" fillId="11" borderId="62" xfId="7" applyNumberFormat="1" applyFont="1" applyFill="1" applyBorder="1" applyAlignment="1">
      <alignment vertical="center"/>
    </xf>
    <xf numFmtId="3" fontId="19" fillId="11" borderId="15" xfId="7" applyNumberFormat="1" applyFont="1" applyFill="1" applyBorder="1" applyAlignment="1">
      <alignment horizontal="right" vertical="center"/>
    </xf>
    <xf numFmtId="3" fontId="17" fillId="3" borderId="15" xfId="7" applyNumberFormat="1" applyFont="1" applyFill="1" applyBorder="1" applyAlignment="1">
      <alignment horizontal="center" vertical="center"/>
    </xf>
    <xf numFmtId="3" fontId="17" fillId="3" borderId="62" xfId="7" applyNumberFormat="1" applyFont="1" applyFill="1" applyBorder="1" applyAlignment="1">
      <alignment horizontal="center" vertical="center"/>
    </xf>
    <xf numFmtId="3" fontId="19" fillId="3" borderId="9" xfId="7" applyNumberFormat="1" applyFont="1" applyFill="1" applyBorder="1" applyAlignment="1">
      <alignment vertical="center"/>
    </xf>
    <xf numFmtId="3" fontId="19" fillId="3" borderId="0" xfId="7" applyNumberFormat="1" applyFont="1" applyFill="1" applyBorder="1" applyAlignment="1">
      <alignment vertical="center"/>
    </xf>
    <xf numFmtId="3" fontId="19" fillId="3" borderId="58" xfId="7" applyNumberFormat="1" applyFont="1" applyFill="1" applyBorder="1" applyAlignment="1">
      <alignment vertical="center"/>
    </xf>
    <xf numFmtId="3" fontId="19" fillId="5" borderId="15" xfId="7" applyNumberFormat="1" applyFont="1" applyFill="1" applyBorder="1" applyAlignment="1"/>
    <xf numFmtId="3" fontId="19" fillId="5" borderId="62" xfId="7" applyNumberFormat="1" applyFont="1" applyFill="1" applyBorder="1" applyAlignment="1"/>
    <xf numFmtId="3" fontId="17" fillId="3" borderId="15" xfId="7" applyNumberFormat="1" applyFont="1" applyFill="1" applyBorder="1" applyAlignment="1"/>
    <xf numFmtId="3" fontId="17" fillId="3" borderId="62" xfId="7" applyNumberFormat="1" applyFont="1" applyFill="1" applyBorder="1" applyAlignment="1"/>
    <xf numFmtId="3" fontId="17" fillId="5" borderId="15" xfId="7" applyNumberFormat="1" applyFont="1" applyFill="1" applyBorder="1" applyAlignment="1"/>
    <xf numFmtId="3" fontId="17" fillId="5" borderId="62" xfId="7" applyNumberFormat="1" applyFont="1" applyFill="1" applyBorder="1" applyAlignment="1"/>
    <xf numFmtId="0" fontId="19" fillId="11" borderId="74" xfId="0" applyFont="1" applyFill="1" applyBorder="1" applyAlignment="1">
      <alignment horizontal="left" vertical="top" wrapText="1"/>
    </xf>
    <xf numFmtId="3" fontId="17" fillId="11" borderId="15" xfId="7" applyNumberFormat="1" applyFont="1" applyFill="1" applyBorder="1" applyAlignment="1"/>
    <xf numFmtId="3" fontId="48" fillId="22" borderId="79" xfId="2" quotePrefix="1" applyNumberFormat="1" applyFont="1" applyFill="1" applyBorder="1" applyAlignment="1">
      <alignment horizontal="center" vertical="center"/>
    </xf>
    <xf numFmtId="3" fontId="17" fillId="22" borderId="79" xfId="2" applyNumberFormat="1" applyFont="1" applyFill="1" applyBorder="1" applyAlignment="1">
      <alignment vertical="center"/>
    </xf>
    <xf numFmtId="3" fontId="48" fillId="22" borderId="79" xfId="2" applyNumberFormat="1" applyFont="1" applyFill="1" applyBorder="1" applyAlignment="1">
      <alignment vertical="center"/>
    </xf>
    <xf numFmtId="3" fontId="19" fillId="22" borderId="79" xfId="2" applyNumberFormat="1" applyFont="1" applyFill="1" applyBorder="1" applyAlignment="1">
      <alignment vertical="center"/>
    </xf>
    <xf numFmtId="0" fontId="24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1" fontId="21" fillId="0" borderId="15" xfId="2" applyNumberFormat="1" applyFont="1" applyFill="1" applyBorder="1" applyAlignment="1">
      <alignment horizontal="center" vertical="center" wrapText="1"/>
    </xf>
    <xf numFmtId="0" fontId="115" fillId="3" borderId="15" xfId="7" applyFont="1" applyFill="1" applyBorder="1" applyAlignment="1">
      <alignment horizontal="left" vertical="center" wrapText="1"/>
    </xf>
    <xf numFmtId="3" fontId="23" fillId="3" borderId="13" xfId="0" applyNumberFormat="1" applyFont="1" applyFill="1" applyBorder="1" applyAlignment="1">
      <alignment horizontal="center" vertical="center" wrapText="1"/>
    </xf>
    <xf numFmtId="3" fontId="97" fillId="3" borderId="15" xfId="0" applyNumberFormat="1" applyFont="1" applyFill="1" applyBorder="1" applyAlignment="1">
      <alignment horizontal="center" vertical="center"/>
    </xf>
    <xf numFmtId="0" fontId="23" fillId="0" borderId="15" xfId="0" applyFont="1" applyBorder="1" applyAlignment="1">
      <alignment horizontal="left" vertical="top" wrapText="1"/>
    </xf>
    <xf numFmtId="3" fontId="23" fillId="3" borderId="15" xfId="7" applyNumberFormat="1" applyFont="1" applyFill="1" applyBorder="1" applyAlignment="1">
      <alignment horizontal="right" vertical="center"/>
    </xf>
    <xf numFmtId="3" fontId="24" fillId="3" borderId="15" xfId="7" applyNumberFormat="1" applyFont="1" applyFill="1" applyBorder="1" applyAlignment="1">
      <alignment horizontal="right" vertical="center"/>
    </xf>
    <xf numFmtId="3" fontId="24" fillId="16" borderId="15" xfId="7" applyNumberFormat="1" applyFont="1" applyFill="1" applyBorder="1" applyAlignment="1">
      <alignment horizontal="right" vertical="center"/>
    </xf>
    <xf numFmtId="0" fontId="24" fillId="3" borderId="13" xfId="0" applyFont="1" applyFill="1" applyBorder="1" applyAlignment="1">
      <alignment horizontal="left" vertical="top" wrapText="1"/>
    </xf>
    <xf numFmtId="3" fontId="24" fillId="3" borderId="62" xfId="7" applyNumberFormat="1" applyFont="1" applyFill="1" applyBorder="1" applyAlignment="1">
      <alignment vertical="center"/>
    </xf>
    <xf numFmtId="0" fontId="23" fillId="0" borderId="6" xfId="0" applyFont="1" applyBorder="1" applyAlignment="1">
      <alignment horizontal="left" vertical="top" wrapText="1"/>
    </xf>
    <xf numFmtId="3" fontId="23" fillId="0" borderId="15" xfId="0" applyNumberFormat="1" applyFont="1" applyBorder="1" applyAlignment="1">
      <alignment horizontal="right" vertical="top" wrapText="1"/>
    </xf>
    <xf numFmtId="3" fontId="23" fillId="3" borderId="15" xfId="7" applyNumberFormat="1" applyFont="1" applyFill="1" applyBorder="1" applyAlignment="1">
      <alignment vertical="center"/>
    </xf>
    <xf numFmtId="0" fontId="23" fillId="0" borderId="59" xfId="0" applyFont="1" applyBorder="1" applyAlignment="1">
      <alignment horizontal="left" vertical="top" wrapText="1"/>
    </xf>
    <xf numFmtId="3" fontId="23" fillId="0" borderId="52" xfId="0" applyNumberFormat="1" applyFont="1" applyBorder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3" fontId="23" fillId="3" borderId="13" xfId="7" applyNumberFormat="1" applyFont="1" applyFill="1" applyBorder="1" applyAlignment="1">
      <alignment vertical="center"/>
    </xf>
    <xf numFmtId="0" fontId="24" fillId="3" borderId="59" xfId="0" applyFont="1" applyFill="1" applyBorder="1" applyAlignment="1">
      <alignment horizontal="left" vertical="top" wrapText="1"/>
    </xf>
    <xf numFmtId="3" fontId="24" fillId="3" borderId="15" xfId="7" applyNumberFormat="1" applyFont="1" applyFill="1" applyBorder="1" applyAlignment="1">
      <alignment vertical="center"/>
    </xf>
    <xf numFmtId="0" fontId="23" fillId="0" borderId="62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5" borderId="59" xfId="0" applyFont="1" applyFill="1" applyBorder="1" applyAlignment="1">
      <alignment horizontal="left" vertical="top" wrapText="1"/>
    </xf>
    <xf numFmtId="3" fontId="24" fillId="5" borderId="15" xfId="7" applyNumberFormat="1" applyFont="1" applyFill="1" applyBorder="1" applyAlignment="1">
      <alignment vertical="center"/>
    </xf>
    <xf numFmtId="3" fontId="24" fillId="5" borderId="15" xfId="7" applyNumberFormat="1" applyFont="1" applyFill="1" applyBorder="1" applyAlignment="1">
      <alignment horizontal="right" vertical="center"/>
    </xf>
    <xf numFmtId="0" fontId="24" fillId="0" borderId="59" xfId="0" applyFont="1" applyBorder="1" applyAlignment="1">
      <alignment horizontal="left" vertical="top" wrapText="1"/>
    </xf>
    <xf numFmtId="0" fontId="24" fillId="5" borderId="62" xfId="0" applyFont="1" applyFill="1" applyBorder="1" applyAlignment="1">
      <alignment horizontal="left" vertical="top" wrapText="1"/>
    </xf>
    <xf numFmtId="3" fontId="23" fillId="5" borderId="15" xfId="7" applyNumberFormat="1" applyFont="1" applyFill="1" applyBorder="1" applyAlignment="1">
      <alignment vertical="center"/>
    </xf>
    <xf numFmtId="0" fontId="24" fillId="0" borderId="62" xfId="0" applyFont="1" applyBorder="1" applyAlignment="1">
      <alignment horizontal="left" vertical="top" wrapText="1"/>
    </xf>
    <xf numFmtId="3" fontId="23" fillId="0" borderId="16" xfId="0" applyNumberFormat="1" applyFont="1" applyBorder="1" applyAlignment="1">
      <alignment horizontal="right" vertical="top" wrapText="1"/>
    </xf>
    <xf numFmtId="3" fontId="23" fillId="3" borderId="62" xfId="7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top" wrapText="1"/>
    </xf>
    <xf numFmtId="3" fontId="24" fillId="5" borderId="62" xfId="7" applyNumberFormat="1" applyFont="1" applyFill="1" applyBorder="1" applyAlignment="1">
      <alignment vertical="center"/>
    </xf>
    <xf numFmtId="0" fontId="24" fillId="0" borderId="15" xfId="0" applyFont="1" applyBorder="1" applyAlignment="1">
      <alignment horizontal="left" vertical="top" wrapText="1"/>
    </xf>
    <xf numFmtId="3" fontId="24" fillId="0" borderId="15" xfId="0" applyNumberFormat="1" applyFont="1" applyBorder="1" applyAlignment="1">
      <alignment horizontal="right" vertical="top" wrapText="1"/>
    </xf>
    <xf numFmtId="0" fontId="23" fillId="0" borderId="33" xfId="0" applyFont="1" applyBorder="1" applyAlignment="1">
      <alignment horizontal="left" vertical="top" wrapText="1"/>
    </xf>
    <xf numFmtId="3" fontId="23" fillId="0" borderId="9" xfId="0" applyNumberFormat="1" applyFont="1" applyBorder="1" applyAlignment="1">
      <alignment horizontal="right" vertical="top" wrapText="1"/>
    </xf>
    <xf numFmtId="3" fontId="23" fillId="3" borderId="62" xfId="7" applyNumberFormat="1" applyFont="1" applyFill="1" applyBorder="1" applyAlignment="1">
      <alignment horizontal="right" vertical="center"/>
    </xf>
    <xf numFmtId="3" fontId="23" fillId="0" borderId="13" xfId="0" applyNumberFormat="1" applyFont="1" applyBorder="1" applyAlignment="1">
      <alignment horizontal="right" vertical="top" wrapText="1"/>
    </xf>
    <xf numFmtId="3" fontId="23" fillId="5" borderId="62" xfId="7" applyNumberFormat="1" applyFont="1" applyFill="1" applyBorder="1" applyAlignment="1">
      <alignment vertical="center"/>
    </xf>
    <xf numFmtId="0" fontId="24" fillId="5" borderId="0" xfId="0" applyFont="1" applyFill="1" applyAlignment="1">
      <alignment horizontal="left" vertical="top" wrapText="1"/>
    </xf>
    <xf numFmtId="0" fontId="24" fillId="11" borderId="59" xfId="0" applyFont="1" applyFill="1" applyBorder="1" applyAlignment="1">
      <alignment horizontal="left" vertical="top" wrapText="1"/>
    </xf>
    <xf numFmtId="3" fontId="23" fillId="11" borderId="15" xfId="7" applyNumberFormat="1" applyFont="1" applyFill="1" applyBorder="1" applyAlignment="1">
      <alignment vertical="center"/>
    </xf>
    <xf numFmtId="3" fontId="24" fillId="11" borderId="15" xfId="7" applyNumberFormat="1" applyFont="1" applyFill="1" applyBorder="1" applyAlignment="1">
      <alignment horizontal="right" vertical="center"/>
    </xf>
    <xf numFmtId="3" fontId="23" fillId="3" borderId="15" xfId="7" applyNumberFormat="1" applyFont="1" applyFill="1" applyBorder="1" applyAlignment="1">
      <alignment horizontal="center" vertical="center"/>
    </xf>
    <xf numFmtId="3" fontId="23" fillId="3" borderId="62" xfId="7" applyNumberFormat="1" applyFont="1" applyFill="1" applyBorder="1" applyAlignment="1">
      <alignment horizontal="center" vertical="center"/>
    </xf>
    <xf numFmtId="3" fontId="24" fillId="3" borderId="9" xfId="7" applyNumberFormat="1" applyFont="1" applyFill="1" applyBorder="1" applyAlignment="1">
      <alignment vertical="center"/>
    </xf>
    <xf numFmtId="3" fontId="24" fillId="3" borderId="0" xfId="7" applyNumberFormat="1" applyFont="1" applyFill="1" applyBorder="1" applyAlignment="1">
      <alignment vertical="center"/>
    </xf>
    <xf numFmtId="3" fontId="24" fillId="3" borderId="58" xfId="7" applyNumberFormat="1" applyFont="1" applyFill="1" applyBorder="1" applyAlignment="1">
      <alignment vertical="center"/>
    </xf>
    <xf numFmtId="3" fontId="24" fillId="5" borderId="15" xfId="7" applyNumberFormat="1" applyFont="1" applyFill="1" applyBorder="1" applyAlignment="1"/>
    <xf numFmtId="3" fontId="23" fillId="3" borderId="15" xfId="7" applyNumberFormat="1" applyFont="1" applyFill="1" applyBorder="1" applyAlignment="1"/>
    <xf numFmtId="3" fontId="23" fillId="3" borderId="62" xfId="7" applyNumberFormat="1" applyFont="1" applyFill="1" applyBorder="1" applyAlignment="1"/>
    <xf numFmtId="3" fontId="23" fillId="5" borderId="15" xfId="7" applyNumberFormat="1" applyFont="1" applyFill="1" applyBorder="1" applyAlignment="1"/>
    <xf numFmtId="3" fontId="23" fillId="5" borderId="62" xfId="7" applyNumberFormat="1" applyFont="1" applyFill="1" applyBorder="1" applyAlignment="1"/>
    <xf numFmtId="0" fontId="24" fillId="11" borderId="74" xfId="0" applyFont="1" applyFill="1" applyBorder="1" applyAlignment="1">
      <alignment horizontal="left" vertical="top" wrapText="1"/>
    </xf>
    <xf numFmtId="3" fontId="23" fillId="11" borderId="15" xfId="7" applyNumberFormat="1" applyFont="1" applyFill="1" applyBorder="1" applyAlignment="1"/>
    <xf numFmtId="49" fontId="9" fillId="4" borderId="121" xfId="2" applyNumberFormat="1" applyFont="1" applyFill="1" applyBorder="1" applyAlignment="1">
      <alignment vertical="center"/>
    </xf>
    <xf numFmtId="49" fontId="9" fillId="4" borderId="126" xfId="2" applyNumberFormat="1" applyFont="1" applyFill="1" applyBorder="1" applyAlignment="1">
      <alignment vertical="center"/>
    </xf>
    <xf numFmtId="3" fontId="51" fillId="4" borderId="15" xfId="2" quotePrefix="1" applyNumberFormat="1" applyFont="1" applyFill="1" applyBorder="1" applyAlignment="1">
      <alignment horizontal="center" vertical="center"/>
    </xf>
    <xf numFmtId="3" fontId="51" fillId="4" borderId="127" xfId="2" quotePrefix="1" applyNumberFormat="1" applyFont="1" applyFill="1" applyBorder="1" applyAlignment="1">
      <alignment horizontal="center" vertical="center"/>
    </xf>
    <xf numFmtId="1" fontId="9" fillId="4" borderId="127" xfId="2" applyNumberFormat="1" applyFont="1" applyFill="1" applyBorder="1" applyAlignment="1">
      <alignment horizontal="right" vertical="center"/>
    </xf>
    <xf numFmtId="3" fontId="19" fillId="4" borderId="127" xfId="2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horizontal="right" vertical="center" shrinkToFit="1"/>
    </xf>
    <xf numFmtId="41" fontId="23" fillId="0" borderId="15" xfId="0" applyNumberFormat="1" applyFont="1" applyBorder="1" applyAlignment="1">
      <alignment horizontal="center" vertical="center" wrapText="1"/>
    </xf>
    <xf numFmtId="0" fontId="23" fillId="3" borderId="15" xfId="0" quotePrefix="1" applyFont="1" applyFill="1" applyBorder="1"/>
    <xf numFmtId="0" fontId="23" fillId="3" borderId="15" xfId="0" applyFont="1" applyFill="1" applyBorder="1" applyAlignment="1">
      <alignment wrapText="1"/>
    </xf>
    <xf numFmtId="3" fontId="23" fillId="3" borderId="15" xfId="0" applyNumberFormat="1" applyFont="1" applyFill="1" applyBorder="1"/>
    <xf numFmtId="3" fontId="116" fillId="5" borderId="15" xfId="0" applyNumberFormat="1" applyFont="1" applyFill="1" applyBorder="1"/>
    <xf numFmtId="0" fontId="117" fillId="3" borderId="15" xfId="0" applyFont="1" applyFill="1" applyBorder="1"/>
    <xf numFmtId="0" fontId="117" fillId="3" borderId="15" xfId="0" applyFont="1" applyFill="1" applyBorder="1" applyAlignment="1">
      <alignment wrapText="1"/>
    </xf>
    <xf numFmtId="3" fontId="117" fillId="3" borderId="15" xfId="0" applyNumberFormat="1" applyFont="1" applyFill="1" applyBorder="1"/>
    <xf numFmtId="0" fontId="116" fillId="5" borderId="15" xfId="0" applyFont="1" applyFill="1" applyBorder="1"/>
    <xf numFmtId="0" fontId="116" fillId="5" borderId="15" xfId="0" applyFont="1" applyFill="1" applyBorder="1" applyAlignment="1">
      <alignment wrapText="1"/>
    </xf>
    <xf numFmtId="0" fontId="116" fillId="3" borderId="15" xfId="0" applyFont="1" applyFill="1" applyBorder="1"/>
    <xf numFmtId="0" fontId="116" fillId="3" borderId="15" xfId="0" applyFont="1" applyFill="1" applyBorder="1" applyAlignment="1">
      <alignment wrapText="1"/>
    </xf>
    <xf numFmtId="3" fontId="116" fillId="3" borderId="15" xfId="0" applyNumberFormat="1" applyFont="1" applyFill="1" applyBorder="1"/>
    <xf numFmtId="0" fontId="23" fillId="3" borderId="15" xfId="0" applyFont="1" applyFill="1" applyBorder="1"/>
    <xf numFmtId="0" fontId="24" fillId="0" borderId="15" xfId="0" applyFont="1" applyBorder="1" applyAlignment="1">
      <alignment horizontal="left" vertical="center" wrapText="1"/>
    </xf>
    <xf numFmtId="3" fontId="17" fillId="3" borderId="15" xfId="2" quotePrefix="1" applyNumberFormat="1" applyFont="1" applyFill="1" applyBorder="1" applyAlignment="1">
      <alignment horizontal="center" vertical="center"/>
    </xf>
    <xf numFmtId="41" fontId="17" fillId="0" borderId="15" xfId="0" applyNumberFormat="1" applyFont="1" applyBorder="1"/>
    <xf numFmtId="3" fontId="23" fillId="0" borderId="15" xfId="0" quotePrefix="1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41" fontId="23" fillId="3" borderId="15" xfId="0" applyNumberFormat="1" applyFont="1" applyFill="1" applyBorder="1" applyAlignment="1">
      <alignment horizontal="center" vertical="center" wrapText="1"/>
    </xf>
    <xf numFmtId="165" fontId="19" fillId="4" borderId="125" xfId="2" applyNumberFormat="1" applyFont="1" applyFill="1" applyBorder="1" applyAlignment="1">
      <alignment vertical="center"/>
    </xf>
    <xf numFmtId="1" fontId="9" fillId="4" borderId="15" xfId="2" applyNumberFormat="1" applyFont="1" applyFill="1" applyBorder="1" applyAlignment="1">
      <alignment horizontal="right" vertical="center"/>
    </xf>
    <xf numFmtId="3" fontId="19" fillId="4" borderId="15" xfId="2" applyNumberFormat="1" applyFont="1" applyFill="1" applyBorder="1" applyAlignment="1">
      <alignment vertical="center"/>
    </xf>
    <xf numFmtId="3" fontId="58" fillId="3" borderId="0" xfId="0" applyNumberFormat="1" applyFont="1" applyFill="1" applyBorder="1" applyAlignment="1">
      <alignment horizontal="justify" vertical="center" shrinkToFit="1"/>
    </xf>
    <xf numFmtId="0" fontId="14" fillId="3" borderId="0" xfId="0" applyFont="1" applyFill="1" applyBorder="1" applyAlignment="1">
      <alignment vertical="center" shrinkToFit="1"/>
    </xf>
    <xf numFmtId="3" fontId="14" fillId="3" borderId="0" xfId="0" applyNumberFormat="1" applyFont="1" applyFill="1" applyBorder="1" applyAlignment="1">
      <alignment vertical="center" shrinkToFit="1"/>
    </xf>
    <xf numFmtId="41" fontId="24" fillId="3" borderId="15" xfId="0" applyNumberFormat="1" applyFont="1" applyFill="1" applyBorder="1" applyAlignment="1">
      <alignment vertical="center" wrapText="1"/>
    </xf>
    <xf numFmtId="0" fontId="58" fillId="0" borderId="16" xfId="0" applyFont="1" applyFill="1" applyBorder="1" applyAlignment="1">
      <alignment horizontal="justify" vertical="center" shrinkToFit="1"/>
    </xf>
    <xf numFmtId="41" fontId="47" fillId="0" borderId="15" xfId="0" applyNumberFormat="1" applyFont="1" applyFill="1" applyBorder="1" applyAlignment="1">
      <alignment vertical="center" shrinkToFit="1"/>
    </xf>
    <xf numFmtId="41" fontId="58" fillId="0" borderId="15" xfId="0" applyNumberFormat="1" applyFont="1" applyFill="1" applyBorder="1" applyAlignment="1">
      <alignment horizontal="justify" vertical="center" shrinkToFit="1"/>
    </xf>
    <xf numFmtId="41" fontId="11" fillId="0" borderId="15" xfId="0" applyNumberFormat="1" applyFont="1" applyFill="1" applyBorder="1" applyAlignment="1">
      <alignment vertical="center" shrinkToFit="1"/>
    </xf>
    <xf numFmtId="0" fontId="11" fillId="0" borderId="15" xfId="0" applyFont="1" applyFill="1" applyBorder="1" applyAlignment="1">
      <alignment vertical="center" shrinkToFit="1"/>
    </xf>
    <xf numFmtId="41" fontId="35" fillId="0" borderId="15" xfId="0" applyNumberFormat="1" applyFont="1" applyFill="1" applyBorder="1" applyAlignment="1">
      <alignment vertical="center" shrinkToFit="1"/>
    </xf>
    <xf numFmtId="41" fontId="13" fillId="0" borderId="15" xfId="0" applyNumberFormat="1" applyFont="1" applyFill="1" applyBorder="1" applyAlignment="1">
      <alignment vertical="center" shrinkToFit="1"/>
    </xf>
    <xf numFmtId="0" fontId="100" fillId="0" borderId="44" xfId="0" applyFont="1" applyBorder="1" applyAlignment="1">
      <alignment wrapText="1"/>
    </xf>
    <xf numFmtId="0" fontId="100" fillId="0" borderId="47" xfId="0" applyFont="1" applyBorder="1" applyAlignment="1">
      <alignment wrapText="1"/>
    </xf>
    <xf numFmtId="0" fontId="25" fillId="3" borderId="0" xfId="0" applyFont="1" applyFill="1" applyBorder="1" applyAlignment="1">
      <alignment horizontal="center" shrinkToFit="1"/>
    </xf>
    <xf numFmtId="0" fontId="100" fillId="0" borderId="15" xfId="0" applyFont="1" applyBorder="1" applyAlignment="1">
      <alignment wrapText="1"/>
    </xf>
    <xf numFmtId="0" fontId="101" fillId="0" borderId="15" xfId="0" applyFont="1" applyBorder="1" applyAlignment="1">
      <alignment horizontal="center" wrapText="1"/>
    </xf>
    <xf numFmtId="0" fontId="101" fillId="0" borderId="15" xfId="0" applyFont="1" applyBorder="1" applyAlignment="1">
      <alignment wrapText="1"/>
    </xf>
    <xf numFmtId="0" fontId="101" fillId="0" borderId="16" xfId="0" applyFont="1" applyBorder="1" applyAlignment="1">
      <alignment wrapText="1"/>
    </xf>
    <xf numFmtId="0" fontId="3" fillId="0" borderId="0" xfId="0" applyFont="1" applyFill="1" applyAlignment="1">
      <alignment horizontal="center" vertical="center" wrapText="1" shrinkToFit="1"/>
    </xf>
    <xf numFmtId="0" fontId="24" fillId="0" borderId="1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39" xfId="0" applyFont="1" applyFill="1" applyBorder="1" applyAlignment="1">
      <alignment horizontal="center" vertical="center" shrinkToFit="1"/>
    </xf>
    <xf numFmtId="0" fontId="24" fillId="2" borderId="17" xfId="0" applyFont="1" applyFill="1" applyBorder="1" applyAlignment="1">
      <alignment horizontal="center" vertical="center" shrinkToFit="1"/>
    </xf>
    <xf numFmtId="0" fontId="24" fillId="2" borderId="22" xfId="0" applyFont="1" applyFill="1" applyBorder="1" applyAlignment="1">
      <alignment horizontal="center" vertical="center" shrinkToFit="1"/>
    </xf>
    <xf numFmtId="0" fontId="24" fillId="2" borderId="34" xfId="0" applyFont="1" applyFill="1" applyBorder="1" applyAlignment="1">
      <alignment horizontal="center" vertical="center" shrinkToFit="1"/>
    </xf>
    <xf numFmtId="2" fontId="24" fillId="5" borderId="2" xfId="0" applyNumberFormat="1" applyFont="1" applyFill="1" applyBorder="1" applyAlignment="1">
      <alignment horizontal="center" vertical="center" shrinkToFit="1"/>
    </xf>
    <xf numFmtId="2" fontId="24" fillId="5" borderId="118" xfId="0" applyNumberFormat="1" applyFont="1" applyFill="1" applyBorder="1" applyAlignment="1">
      <alignment horizontal="center" vertical="center" shrinkToFit="1"/>
    </xf>
    <xf numFmtId="2" fontId="24" fillId="0" borderId="15" xfId="0" applyNumberFormat="1" applyFont="1" applyFill="1" applyBorder="1" applyAlignment="1">
      <alignment horizontal="center" shrinkToFit="1"/>
    </xf>
    <xf numFmtId="2" fontId="24" fillId="0" borderId="70" xfId="0" applyNumberFormat="1" applyFont="1" applyFill="1" applyBorder="1" applyAlignment="1">
      <alignment horizontal="center" shrinkToFit="1"/>
    </xf>
    <xf numFmtId="2" fontId="24" fillId="0" borderId="71" xfId="0" applyNumberFormat="1" applyFont="1" applyFill="1" applyBorder="1" applyAlignment="1">
      <alignment horizontal="center" shrinkToFit="1"/>
    </xf>
    <xf numFmtId="0" fontId="24" fillId="5" borderId="67" xfId="0" applyFont="1" applyFill="1" applyBorder="1" applyAlignment="1">
      <alignment horizontal="center" vertical="center" shrinkToFit="1"/>
    </xf>
    <xf numFmtId="0" fontId="24" fillId="5" borderId="12" xfId="0" applyFont="1" applyFill="1" applyBorder="1" applyAlignment="1">
      <alignment horizontal="center" vertical="center" shrinkToFit="1"/>
    </xf>
    <xf numFmtId="0" fontId="24" fillId="2" borderId="15" xfId="0" applyFont="1" applyFill="1" applyBorder="1" applyAlignment="1">
      <alignment horizontal="center" vertical="center" shrinkToFit="1"/>
    </xf>
    <xf numFmtId="2" fontId="24" fillId="0" borderId="70" xfId="0" applyNumberFormat="1" applyFont="1" applyFill="1" applyBorder="1" applyAlignment="1">
      <alignment horizontal="center" vertical="center" shrinkToFit="1"/>
    </xf>
    <xf numFmtId="2" fontId="24" fillId="0" borderId="71" xfId="0" applyNumberFormat="1" applyFont="1" applyFill="1" applyBorder="1" applyAlignment="1">
      <alignment horizontal="center" vertical="center" shrinkToFit="1"/>
    </xf>
    <xf numFmtId="0" fontId="24" fillId="0" borderId="13" xfId="0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center" vertical="center" shrinkToFit="1"/>
    </xf>
    <xf numFmtId="2" fontId="24" fillId="0" borderId="16" xfId="0" applyNumberFormat="1" applyFont="1" applyFill="1" applyBorder="1" applyAlignment="1">
      <alignment horizontal="center" vertical="center" shrinkToFit="1"/>
    </xf>
    <xf numFmtId="2" fontId="24" fillId="0" borderId="9" xfId="0" applyNumberFormat="1" applyFont="1" applyFill="1" applyBorder="1" applyAlignment="1">
      <alignment horizontal="center" vertical="center" shrinkToFit="1"/>
    </xf>
    <xf numFmtId="2" fontId="24" fillId="0" borderId="13" xfId="0" applyNumberFormat="1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shrinkToFit="1"/>
    </xf>
    <xf numFmtId="2" fontId="24" fillId="7" borderId="67" xfId="0" applyNumberFormat="1" applyFont="1" applyFill="1" applyBorder="1" applyAlignment="1">
      <alignment horizontal="center" shrinkToFit="1"/>
    </xf>
    <xf numFmtId="2" fontId="24" fillId="7" borderId="12" xfId="0" applyNumberFormat="1" applyFont="1" applyFill="1" applyBorder="1" applyAlignment="1">
      <alignment horizontal="center" shrinkToFit="1"/>
    </xf>
    <xf numFmtId="2" fontId="24" fillId="5" borderId="67" xfId="0" applyNumberFormat="1" applyFont="1" applyFill="1" applyBorder="1" applyAlignment="1">
      <alignment horizontal="center" vertical="center" shrinkToFit="1"/>
    </xf>
    <xf numFmtId="2" fontId="24" fillId="5" borderId="12" xfId="0" applyNumberFormat="1" applyFont="1" applyFill="1" applyBorder="1" applyAlignment="1">
      <alignment horizontal="center" vertical="center" shrinkToFit="1"/>
    </xf>
    <xf numFmtId="2" fontId="24" fillId="0" borderId="13" xfId="0" applyNumberFormat="1" applyFont="1" applyFill="1" applyBorder="1" applyAlignment="1">
      <alignment horizontal="left" vertical="center" wrapText="1" shrinkToFit="1"/>
    </xf>
    <xf numFmtId="0" fontId="23" fillId="7" borderId="66" xfId="0" applyFont="1" applyFill="1" applyBorder="1" applyAlignment="1">
      <alignment horizontal="center" shrinkToFit="1"/>
    </xf>
    <xf numFmtId="0" fontId="23" fillId="7" borderId="38" xfId="0" applyFont="1" applyFill="1" applyBorder="1" applyAlignment="1">
      <alignment horizontal="center" shrinkToFit="1"/>
    </xf>
    <xf numFmtId="0" fontId="23" fillId="7" borderId="43" xfId="0" applyFont="1" applyFill="1" applyBorder="1" applyAlignment="1">
      <alignment horizontal="center" shrinkToFit="1"/>
    </xf>
    <xf numFmtId="3" fontId="11" fillId="0" borderId="61" xfId="0" applyNumberFormat="1" applyFont="1" applyFill="1" applyBorder="1" applyAlignment="1">
      <alignment horizontal="center" vertical="center"/>
    </xf>
    <xf numFmtId="3" fontId="11" fillId="0" borderId="59" xfId="0" applyNumberFormat="1" applyFont="1" applyFill="1" applyBorder="1" applyAlignment="1">
      <alignment horizontal="center" vertical="center"/>
    </xf>
    <xf numFmtId="3" fontId="11" fillId="0" borderId="30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3" fontId="11" fillId="0" borderId="52" xfId="0" applyNumberFormat="1" applyFont="1" applyFill="1" applyBorder="1" applyAlignment="1">
      <alignment horizontal="center" vertical="center"/>
    </xf>
    <xf numFmtId="3" fontId="11" fillId="0" borderId="32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center" vertical="center"/>
    </xf>
    <xf numFmtId="3" fontId="11" fillId="0" borderId="9" xfId="0" applyNumberFormat="1" applyFont="1" applyFill="1" applyBorder="1" applyAlignment="1">
      <alignment horizontal="center" vertical="center"/>
    </xf>
    <xf numFmtId="3" fontId="11" fillId="0" borderId="13" xfId="0" applyNumberFormat="1" applyFont="1" applyFill="1" applyBorder="1" applyAlignment="1">
      <alignment horizontal="center" vertical="center"/>
    </xf>
    <xf numFmtId="3" fontId="11" fillId="0" borderId="15" xfId="0" applyNumberFormat="1" applyFont="1" applyFill="1" applyBorder="1" applyAlignment="1">
      <alignment horizontal="center" vertical="center"/>
    </xf>
    <xf numFmtId="3" fontId="23" fillId="0" borderId="16" xfId="0" applyNumberFormat="1" applyFont="1" applyFill="1" applyBorder="1" applyAlignment="1">
      <alignment horizontal="center" vertical="center"/>
    </xf>
    <xf numFmtId="3" fontId="23" fillId="0" borderId="9" xfId="0" applyNumberFormat="1" applyFont="1" applyFill="1" applyBorder="1" applyAlignment="1">
      <alignment horizontal="center" vertical="center"/>
    </xf>
    <xf numFmtId="3" fontId="23" fillId="0" borderId="13" xfId="0" applyNumberFormat="1" applyFont="1" applyFill="1" applyBorder="1" applyAlignment="1">
      <alignment horizontal="center" vertical="center"/>
    </xf>
    <xf numFmtId="3" fontId="24" fillId="8" borderId="15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3" fontId="21" fillId="0" borderId="15" xfId="0" applyNumberFormat="1" applyFont="1" applyFill="1" applyBorder="1" applyAlignment="1">
      <alignment horizontal="center" vertical="center"/>
    </xf>
    <xf numFmtId="3" fontId="23" fillId="3" borderId="61" xfId="0" applyNumberFormat="1" applyFont="1" applyFill="1" applyBorder="1" applyAlignment="1">
      <alignment horizontal="center" vertical="center"/>
    </xf>
    <xf numFmtId="3" fontId="23" fillId="3" borderId="59" xfId="0" applyNumberFormat="1" applyFont="1" applyFill="1" applyBorder="1" applyAlignment="1">
      <alignment horizontal="center" vertical="center"/>
    </xf>
    <xf numFmtId="3" fontId="23" fillId="3" borderId="30" xfId="0" applyNumberFormat="1" applyFont="1" applyFill="1" applyBorder="1" applyAlignment="1">
      <alignment horizontal="center" vertical="center"/>
    </xf>
    <xf numFmtId="3" fontId="23" fillId="3" borderId="6" xfId="0" applyNumberFormat="1" applyFont="1" applyFill="1" applyBorder="1" applyAlignment="1">
      <alignment horizontal="center" vertical="center"/>
    </xf>
    <xf numFmtId="3" fontId="23" fillId="3" borderId="52" xfId="0" applyNumberFormat="1" applyFont="1" applyFill="1" applyBorder="1" applyAlignment="1">
      <alignment horizontal="center" vertical="center"/>
    </xf>
    <xf numFmtId="3" fontId="23" fillId="3" borderId="32" xfId="0" applyNumberFormat="1" applyFont="1" applyFill="1" applyBorder="1" applyAlignment="1">
      <alignment horizontal="center" vertical="center"/>
    </xf>
    <xf numFmtId="3" fontId="23" fillId="3" borderId="16" xfId="0" applyNumberFormat="1" applyFont="1" applyFill="1" applyBorder="1" applyAlignment="1">
      <alignment horizontal="center" vertical="center"/>
    </xf>
    <xf numFmtId="3" fontId="23" fillId="3" borderId="9" xfId="0" applyNumberFormat="1" applyFont="1" applyFill="1" applyBorder="1" applyAlignment="1">
      <alignment horizontal="center" vertical="center"/>
    </xf>
    <xf numFmtId="3" fontId="23" fillId="3" borderId="13" xfId="0" applyNumberFormat="1" applyFont="1" applyFill="1" applyBorder="1" applyAlignment="1">
      <alignment horizontal="center" vertical="center"/>
    </xf>
    <xf numFmtId="3" fontId="24" fillId="3" borderId="61" xfId="0" applyNumberFormat="1" applyFont="1" applyFill="1" applyBorder="1" applyAlignment="1">
      <alignment horizontal="center" vertical="center"/>
    </xf>
    <xf numFmtId="3" fontId="24" fillId="3" borderId="59" xfId="0" applyNumberFormat="1" applyFont="1" applyFill="1" applyBorder="1" applyAlignment="1">
      <alignment horizontal="center" vertical="center"/>
    </xf>
    <xf numFmtId="3" fontId="24" fillId="3" borderId="30" xfId="0" applyNumberFormat="1" applyFont="1" applyFill="1" applyBorder="1" applyAlignment="1">
      <alignment horizontal="center" vertical="center"/>
    </xf>
    <xf numFmtId="3" fontId="24" fillId="3" borderId="6" xfId="0" applyNumberFormat="1" applyFont="1" applyFill="1" applyBorder="1" applyAlignment="1">
      <alignment horizontal="center" vertical="center"/>
    </xf>
    <xf numFmtId="3" fontId="24" fillId="3" borderId="52" xfId="0" applyNumberFormat="1" applyFont="1" applyFill="1" applyBorder="1" applyAlignment="1">
      <alignment horizontal="center" vertical="center"/>
    </xf>
    <xf numFmtId="3" fontId="24" fillId="3" borderId="32" xfId="0" applyNumberFormat="1" applyFont="1" applyFill="1" applyBorder="1" applyAlignment="1">
      <alignment horizontal="center" vertical="center"/>
    </xf>
    <xf numFmtId="3" fontId="21" fillId="0" borderId="15" xfId="0" applyNumberFormat="1" applyFont="1" applyFill="1" applyBorder="1" applyAlignment="1">
      <alignment horizontal="left" vertical="center"/>
    </xf>
    <xf numFmtId="3" fontId="24" fillId="3" borderId="16" xfId="0" applyNumberFormat="1" applyFont="1" applyFill="1" applyBorder="1" applyAlignment="1">
      <alignment horizontal="center" vertical="center"/>
    </xf>
    <xf numFmtId="3" fontId="24" fillId="3" borderId="9" xfId="0" applyNumberFormat="1" applyFont="1" applyFill="1" applyBorder="1" applyAlignment="1">
      <alignment horizontal="center" vertical="center"/>
    </xf>
    <xf numFmtId="3" fontId="24" fillId="3" borderId="13" xfId="0" applyNumberFormat="1" applyFont="1" applyFill="1" applyBorder="1" applyAlignment="1">
      <alignment horizontal="center" vertical="center"/>
    </xf>
    <xf numFmtId="3" fontId="24" fillId="10" borderId="58" xfId="0" applyNumberFormat="1" applyFont="1" applyFill="1" applyBorder="1" applyAlignment="1">
      <alignment horizontal="left" vertical="center"/>
    </xf>
    <xf numFmtId="3" fontId="24" fillId="10" borderId="74" xfId="0" applyNumberFormat="1" applyFont="1" applyFill="1" applyBorder="1" applyAlignment="1">
      <alignment horizontal="left" vertical="center"/>
    </xf>
    <xf numFmtId="3" fontId="24" fillId="10" borderId="62" xfId="0" applyNumberFormat="1" applyFont="1" applyFill="1" applyBorder="1" applyAlignment="1">
      <alignment horizontal="left" vertical="center"/>
    </xf>
    <xf numFmtId="3" fontId="24" fillId="10" borderId="61" xfId="0" applyNumberFormat="1" applyFont="1" applyFill="1" applyBorder="1" applyAlignment="1">
      <alignment horizontal="center" vertical="center"/>
    </xf>
    <xf numFmtId="3" fontId="24" fillId="10" borderId="72" xfId="0" applyNumberFormat="1" applyFont="1" applyFill="1" applyBorder="1" applyAlignment="1">
      <alignment horizontal="center" vertical="center"/>
    </xf>
    <xf numFmtId="3" fontId="24" fillId="10" borderId="59" xfId="0" applyNumberFormat="1" applyFont="1" applyFill="1" applyBorder="1" applyAlignment="1">
      <alignment horizontal="center" vertical="center"/>
    </xf>
    <xf numFmtId="3" fontId="24" fillId="10" borderId="30" xfId="0" applyNumberFormat="1" applyFont="1" applyFill="1" applyBorder="1" applyAlignment="1">
      <alignment horizontal="center" vertical="center"/>
    </xf>
    <xf numFmtId="3" fontId="24" fillId="10" borderId="0" xfId="0" applyNumberFormat="1" applyFont="1" applyFill="1" applyBorder="1" applyAlignment="1">
      <alignment horizontal="center" vertical="center"/>
    </xf>
    <xf numFmtId="3" fontId="24" fillId="10" borderId="6" xfId="0" applyNumberFormat="1" applyFont="1" applyFill="1" applyBorder="1" applyAlignment="1">
      <alignment horizontal="center" vertical="center"/>
    </xf>
    <xf numFmtId="3" fontId="24" fillId="10" borderId="52" xfId="0" applyNumberFormat="1" applyFont="1" applyFill="1" applyBorder="1" applyAlignment="1">
      <alignment horizontal="center" vertical="center"/>
    </xf>
    <xf numFmtId="3" fontId="24" fillId="10" borderId="33" xfId="0" applyNumberFormat="1" applyFont="1" applyFill="1" applyBorder="1" applyAlignment="1">
      <alignment horizontal="center" vertical="center"/>
    </xf>
    <xf numFmtId="3" fontId="24" fillId="10" borderId="32" xfId="0" applyNumberFormat="1" applyFont="1" applyFill="1" applyBorder="1" applyAlignment="1">
      <alignment horizontal="center" vertical="center"/>
    </xf>
    <xf numFmtId="3" fontId="104" fillId="8" borderId="61" xfId="0" applyNumberFormat="1" applyFont="1" applyFill="1" applyBorder="1" applyAlignment="1">
      <alignment horizontal="center" vertical="center"/>
    </xf>
    <xf numFmtId="3" fontId="104" fillId="8" borderId="72" xfId="0" applyNumberFormat="1" applyFont="1" applyFill="1" applyBorder="1" applyAlignment="1">
      <alignment horizontal="center" vertical="center"/>
    </xf>
    <xf numFmtId="3" fontId="104" fillId="8" borderId="59" xfId="0" applyNumberFormat="1" applyFont="1" applyFill="1" applyBorder="1" applyAlignment="1">
      <alignment horizontal="center" vertical="center"/>
    </xf>
    <xf numFmtId="3" fontId="104" fillId="8" borderId="30" xfId="0" applyNumberFormat="1" applyFont="1" applyFill="1" applyBorder="1" applyAlignment="1">
      <alignment horizontal="center" vertical="center"/>
    </xf>
    <xf numFmtId="3" fontId="104" fillId="8" borderId="0" xfId="0" applyNumberFormat="1" applyFont="1" applyFill="1" applyBorder="1" applyAlignment="1">
      <alignment horizontal="center" vertical="center"/>
    </xf>
    <xf numFmtId="3" fontId="104" fillId="8" borderId="6" xfId="0" applyNumberFormat="1" applyFont="1" applyFill="1" applyBorder="1" applyAlignment="1">
      <alignment horizontal="center" vertical="center"/>
    </xf>
    <xf numFmtId="3" fontId="104" fillId="8" borderId="52" xfId="0" applyNumberFormat="1" applyFont="1" applyFill="1" applyBorder="1" applyAlignment="1">
      <alignment horizontal="center" vertical="center"/>
    </xf>
    <xf numFmtId="3" fontId="104" fillId="8" borderId="33" xfId="0" applyNumberFormat="1" applyFont="1" applyFill="1" applyBorder="1" applyAlignment="1">
      <alignment horizontal="center" vertical="center"/>
    </xf>
    <xf numFmtId="3" fontId="104" fillId="8" borderId="32" xfId="0" applyNumberFormat="1" applyFont="1" applyFill="1" applyBorder="1" applyAlignment="1">
      <alignment horizontal="center" vertical="center"/>
    </xf>
    <xf numFmtId="3" fontId="11" fillId="3" borderId="61" xfId="0" applyNumberFormat="1" applyFont="1" applyFill="1" applyBorder="1" applyAlignment="1">
      <alignment horizontal="center" vertical="center"/>
    </xf>
    <xf numFmtId="3" fontId="11" fillId="3" borderId="59" xfId="0" applyNumberFormat="1" applyFont="1" applyFill="1" applyBorder="1" applyAlignment="1">
      <alignment horizontal="center" vertical="center"/>
    </xf>
    <xf numFmtId="3" fontId="11" fillId="3" borderId="30" xfId="0" applyNumberFormat="1" applyFont="1" applyFill="1" applyBorder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/>
    </xf>
    <xf numFmtId="3" fontId="11" fillId="3" borderId="52" xfId="0" applyNumberFormat="1" applyFont="1" applyFill="1" applyBorder="1" applyAlignment="1">
      <alignment horizontal="center" vertical="center"/>
    </xf>
    <xf numFmtId="3" fontId="11" fillId="3" borderId="32" xfId="0" applyNumberFormat="1" applyFont="1" applyFill="1" applyBorder="1" applyAlignment="1">
      <alignment horizontal="center" vertical="center"/>
    </xf>
    <xf numFmtId="49" fontId="11" fillId="3" borderId="16" xfId="0" applyNumberFormat="1" applyFont="1" applyFill="1" applyBorder="1" applyAlignment="1">
      <alignment horizontal="center" vertical="center"/>
    </xf>
    <xf numFmtId="49" fontId="11" fillId="3" borderId="9" xfId="0" applyNumberFormat="1" applyFont="1" applyFill="1" applyBorder="1" applyAlignment="1">
      <alignment horizontal="center" vertical="center"/>
    </xf>
    <xf numFmtId="49" fontId="11" fillId="3" borderId="13" xfId="0" applyNumberFormat="1" applyFont="1" applyFill="1" applyBorder="1" applyAlignment="1">
      <alignment horizontal="center" vertical="center"/>
    </xf>
    <xf numFmtId="3" fontId="21" fillId="20" borderId="30" xfId="0" applyNumberFormat="1" applyFont="1" applyFill="1" applyBorder="1" applyAlignment="1">
      <alignment horizontal="center" vertical="center"/>
    </xf>
    <xf numFmtId="3" fontId="21" fillId="20" borderId="0" xfId="0" applyNumberFormat="1" applyFont="1" applyFill="1" applyBorder="1" applyAlignment="1">
      <alignment horizontal="center" vertical="center"/>
    </xf>
    <xf numFmtId="3" fontId="21" fillId="20" borderId="6" xfId="0" applyNumberFormat="1" applyFont="1" applyFill="1" applyBorder="1" applyAlignment="1">
      <alignment horizontal="center" vertical="center"/>
    </xf>
    <xf numFmtId="3" fontId="21" fillId="12" borderId="110" xfId="0" applyNumberFormat="1" applyFont="1" applyFill="1" applyBorder="1" applyAlignment="1">
      <alignment horizontal="center" vertical="center"/>
    </xf>
    <xf numFmtId="3" fontId="21" fillId="12" borderId="72" xfId="0" applyNumberFormat="1" applyFont="1" applyFill="1" applyBorder="1" applyAlignment="1">
      <alignment horizontal="center" vertical="center"/>
    </xf>
    <xf numFmtId="3" fontId="21" fillId="12" borderId="59" xfId="0" applyNumberFormat="1" applyFont="1" applyFill="1" applyBorder="1" applyAlignment="1">
      <alignment horizontal="center" vertical="center"/>
    </xf>
    <xf numFmtId="3" fontId="21" fillId="12" borderId="101" xfId="0" applyNumberFormat="1" applyFont="1" applyFill="1" applyBorder="1" applyAlignment="1">
      <alignment horizontal="center" vertical="center"/>
    </xf>
    <xf numFmtId="3" fontId="21" fillId="12" borderId="0" xfId="0" applyNumberFormat="1" applyFont="1" applyFill="1" applyBorder="1" applyAlignment="1">
      <alignment horizontal="center" vertical="center"/>
    </xf>
    <xf numFmtId="3" fontId="21" fillId="12" borderId="6" xfId="0" applyNumberFormat="1" applyFont="1" applyFill="1" applyBorder="1" applyAlignment="1">
      <alignment horizontal="center" vertical="center"/>
    </xf>
    <xf numFmtId="3" fontId="21" fillId="12" borderId="100" xfId="0" applyNumberFormat="1" applyFont="1" applyFill="1" applyBorder="1" applyAlignment="1">
      <alignment horizontal="center" vertical="center"/>
    </xf>
    <xf numFmtId="3" fontId="21" fillId="12" borderId="102" xfId="0" applyNumberFormat="1" applyFont="1" applyFill="1" applyBorder="1" applyAlignment="1">
      <alignment horizontal="center" vertical="center"/>
    </xf>
    <xf numFmtId="3" fontId="21" fillId="12" borderId="112" xfId="0" applyNumberFormat="1" applyFont="1" applyFill="1" applyBorder="1" applyAlignment="1">
      <alignment horizontal="center" vertical="center"/>
    </xf>
    <xf numFmtId="3" fontId="11" fillId="3" borderId="16" xfId="0" applyNumberFormat="1" applyFont="1" applyFill="1" applyBorder="1" applyAlignment="1">
      <alignment horizontal="center" vertical="center"/>
    </xf>
    <xf numFmtId="3" fontId="11" fillId="3" borderId="9" xfId="0" applyNumberFormat="1" applyFont="1" applyFill="1" applyBorder="1" applyAlignment="1">
      <alignment horizontal="center" vertical="center"/>
    </xf>
    <xf numFmtId="3" fontId="21" fillId="3" borderId="61" xfId="0" applyNumberFormat="1" applyFont="1" applyFill="1" applyBorder="1" applyAlignment="1">
      <alignment horizontal="center" vertical="center"/>
    </xf>
    <xf numFmtId="3" fontId="21" fillId="3" borderId="59" xfId="0" applyNumberFormat="1" applyFont="1" applyFill="1" applyBorder="1" applyAlignment="1">
      <alignment horizontal="center" vertical="center"/>
    </xf>
    <xf numFmtId="3" fontId="21" fillId="3" borderId="30" xfId="0" applyNumberFormat="1" applyFont="1" applyFill="1" applyBorder="1" applyAlignment="1">
      <alignment horizontal="center" vertical="center"/>
    </xf>
    <xf numFmtId="3" fontId="21" fillId="3" borderId="6" xfId="0" applyNumberFormat="1" applyFont="1" applyFill="1" applyBorder="1" applyAlignment="1">
      <alignment horizontal="center" vertical="center"/>
    </xf>
    <xf numFmtId="3" fontId="29" fillId="3" borderId="16" xfId="0" applyNumberFormat="1" applyFont="1" applyFill="1" applyBorder="1" applyAlignment="1">
      <alignment horizontal="center" vertical="center"/>
    </xf>
    <xf numFmtId="3" fontId="29" fillId="3" borderId="9" xfId="0" applyNumberFormat="1" applyFont="1" applyFill="1" applyBorder="1" applyAlignment="1">
      <alignment horizontal="center" vertical="center"/>
    </xf>
    <xf numFmtId="3" fontId="29" fillId="3" borderId="13" xfId="0" applyNumberFormat="1" applyFont="1" applyFill="1" applyBorder="1" applyAlignment="1">
      <alignment horizontal="center" vertical="center"/>
    </xf>
    <xf numFmtId="3" fontId="21" fillId="3" borderId="52" xfId="0" applyNumberFormat="1" applyFont="1" applyFill="1" applyBorder="1" applyAlignment="1">
      <alignment horizontal="center" vertical="center"/>
    </xf>
    <xf numFmtId="3" fontId="21" fillId="3" borderId="32" xfId="0" applyNumberFormat="1" applyFont="1" applyFill="1" applyBorder="1" applyAlignment="1">
      <alignment horizontal="center" vertical="center"/>
    </xf>
    <xf numFmtId="3" fontId="13" fillId="3" borderId="16" xfId="0" applyNumberFormat="1" applyFont="1" applyFill="1" applyBorder="1" applyAlignment="1">
      <alignment horizontal="center" vertical="center"/>
    </xf>
    <xf numFmtId="3" fontId="13" fillId="3" borderId="9" xfId="0" applyNumberFormat="1" applyFont="1" applyFill="1" applyBorder="1" applyAlignment="1">
      <alignment horizontal="center" vertical="center"/>
    </xf>
    <xf numFmtId="3" fontId="13" fillId="3" borderId="13" xfId="0" applyNumberFormat="1" applyFont="1" applyFill="1" applyBorder="1" applyAlignment="1">
      <alignment horizontal="center" vertical="center"/>
    </xf>
    <xf numFmtId="3" fontId="28" fillId="3" borderId="16" xfId="0" applyNumberFormat="1" applyFont="1" applyFill="1" applyBorder="1" applyAlignment="1">
      <alignment horizontal="center" vertical="center"/>
    </xf>
    <xf numFmtId="3" fontId="28" fillId="3" borderId="9" xfId="0" applyNumberFormat="1" applyFont="1" applyFill="1" applyBorder="1" applyAlignment="1">
      <alignment horizontal="center" vertical="center"/>
    </xf>
    <xf numFmtId="3" fontId="28" fillId="3" borderId="13" xfId="0" applyNumberFormat="1" applyFont="1" applyFill="1" applyBorder="1" applyAlignment="1">
      <alignment horizontal="center" vertical="center"/>
    </xf>
    <xf numFmtId="3" fontId="13" fillId="3" borderId="68" xfId="0" applyNumberFormat="1" applyFont="1" applyFill="1" applyBorder="1" applyAlignment="1">
      <alignment horizontal="center" vertical="center"/>
    </xf>
    <xf numFmtId="3" fontId="13" fillId="3" borderId="69" xfId="0" applyNumberFormat="1" applyFont="1" applyFill="1" applyBorder="1" applyAlignment="1">
      <alignment horizontal="center" vertical="center"/>
    </xf>
    <xf numFmtId="3" fontId="13" fillId="3" borderId="51" xfId="0" applyNumberFormat="1" applyFont="1" applyFill="1" applyBorder="1" applyAlignment="1">
      <alignment horizontal="center" vertical="center"/>
    </xf>
    <xf numFmtId="3" fontId="13" fillId="3" borderId="15" xfId="0" applyNumberFormat="1" applyFont="1" applyFill="1" applyBorder="1" applyAlignment="1">
      <alignment horizontal="center" vertical="center"/>
    </xf>
    <xf numFmtId="3" fontId="29" fillId="3" borderId="15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>
      <alignment horizontal="center" vertical="center"/>
    </xf>
    <xf numFmtId="3" fontId="21" fillId="3" borderId="15" xfId="0" applyNumberFormat="1" applyFont="1" applyFill="1" applyBorder="1" applyAlignment="1">
      <alignment horizontal="center" vertical="center"/>
    </xf>
    <xf numFmtId="3" fontId="24" fillId="12" borderId="110" xfId="0" applyNumberFormat="1" applyFont="1" applyFill="1" applyBorder="1" applyAlignment="1">
      <alignment horizontal="center" vertical="center"/>
    </xf>
    <xf numFmtId="3" fontId="24" fillId="12" borderId="72" xfId="0" applyNumberFormat="1" applyFont="1" applyFill="1" applyBorder="1" applyAlignment="1">
      <alignment horizontal="center" vertical="center"/>
    </xf>
    <xf numFmtId="3" fontId="24" fillId="12" borderId="59" xfId="0" applyNumberFormat="1" applyFont="1" applyFill="1" applyBorder="1" applyAlignment="1">
      <alignment horizontal="center" vertical="center"/>
    </xf>
    <xf numFmtId="3" fontId="24" fillId="12" borderId="101" xfId="0" applyNumberFormat="1" applyFont="1" applyFill="1" applyBorder="1" applyAlignment="1">
      <alignment horizontal="center" vertical="center"/>
    </xf>
    <xf numFmtId="3" fontId="24" fillId="12" borderId="0" xfId="0" applyNumberFormat="1" applyFont="1" applyFill="1" applyBorder="1" applyAlignment="1">
      <alignment horizontal="center" vertical="center"/>
    </xf>
    <xf numFmtId="3" fontId="24" fillId="12" borderId="6" xfId="0" applyNumberFormat="1" applyFont="1" applyFill="1" applyBorder="1" applyAlignment="1">
      <alignment horizontal="center" vertical="center"/>
    </xf>
    <xf numFmtId="3" fontId="24" fillId="12" borderId="100" xfId="0" applyNumberFormat="1" applyFont="1" applyFill="1" applyBorder="1" applyAlignment="1">
      <alignment horizontal="center" vertical="center"/>
    </xf>
    <xf numFmtId="3" fontId="24" fillId="12" borderId="102" xfId="0" applyNumberFormat="1" applyFont="1" applyFill="1" applyBorder="1" applyAlignment="1">
      <alignment horizontal="center" vertical="center"/>
    </xf>
    <xf numFmtId="3" fontId="24" fillId="12" borderId="112" xfId="0" applyNumberFormat="1" applyFont="1" applyFill="1" applyBorder="1" applyAlignment="1">
      <alignment horizontal="center" vertical="center"/>
    </xf>
    <xf numFmtId="3" fontId="11" fillId="8" borderId="15" xfId="0" applyNumberFormat="1" applyFont="1" applyFill="1" applyBorder="1" applyAlignment="1">
      <alignment horizontal="center" vertical="center"/>
    </xf>
    <xf numFmtId="3" fontId="11" fillId="3" borderId="15" xfId="0" applyNumberFormat="1" applyFont="1" applyFill="1" applyBorder="1" applyAlignment="1">
      <alignment horizontal="center" vertical="center"/>
    </xf>
    <xf numFmtId="3" fontId="21" fillId="3" borderId="72" xfId="0" applyNumberFormat="1" applyFont="1" applyFill="1" applyBorder="1" applyAlignment="1">
      <alignment horizontal="center" vertical="center"/>
    </xf>
    <xf numFmtId="3" fontId="21" fillId="3" borderId="0" xfId="0" applyNumberFormat="1" applyFont="1" applyFill="1" applyBorder="1" applyAlignment="1">
      <alignment horizontal="center" vertical="center"/>
    </xf>
    <xf numFmtId="3" fontId="21" fillId="3" borderId="33" xfId="0" applyNumberFormat="1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left" vertical="center" wrapText="1"/>
    </xf>
    <xf numFmtId="0" fontId="24" fillId="3" borderId="15" xfId="0" applyFont="1" applyFill="1" applyBorder="1" applyAlignment="1">
      <alignment horizontal="center" vertical="center" wrapText="1"/>
    </xf>
    <xf numFmtId="3" fontId="24" fillId="0" borderId="15" xfId="0" applyNumberFormat="1" applyFont="1" applyFill="1" applyBorder="1" applyAlignment="1">
      <alignment horizontal="center" vertical="center"/>
    </xf>
    <xf numFmtId="3" fontId="21" fillId="6" borderId="15" xfId="0" applyNumberFormat="1" applyFont="1" applyFill="1" applyBorder="1" applyAlignment="1">
      <alignment horizontal="center" vertical="center"/>
    </xf>
    <xf numFmtId="3" fontId="35" fillId="3" borderId="15" xfId="0" applyNumberFormat="1" applyFont="1" applyFill="1" applyBorder="1" applyAlignment="1">
      <alignment horizontal="left" vertical="center"/>
    </xf>
    <xf numFmtId="3" fontId="24" fillId="18" borderId="15" xfId="0" applyNumberFormat="1" applyFont="1" applyFill="1" applyBorder="1" applyAlignment="1">
      <alignment horizontal="center" vertical="center"/>
    </xf>
    <xf numFmtId="3" fontId="13" fillId="5" borderId="15" xfId="0" applyNumberFormat="1" applyFont="1" applyFill="1" applyBorder="1" applyAlignment="1">
      <alignment horizontal="center" vertical="center"/>
    </xf>
    <xf numFmtId="3" fontId="13" fillId="2" borderId="15" xfId="0" applyNumberFormat="1" applyFont="1" applyFill="1" applyBorder="1" applyAlignment="1">
      <alignment horizontal="center" vertical="center"/>
    </xf>
    <xf numFmtId="0" fontId="24" fillId="6" borderId="15" xfId="0" applyFont="1" applyFill="1" applyBorder="1" applyAlignment="1">
      <alignment horizontal="center" vertical="center" wrapText="1"/>
    </xf>
    <xf numFmtId="3" fontId="11" fillId="3" borderId="13" xfId="0" applyNumberFormat="1" applyFont="1" applyFill="1" applyBorder="1" applyAlignment="1">
      <alignment horizontal="center" vertical="center"/>
    </xf>
    <xf numFmtId="0" fontId="24" fillId="6" borderId="61" xfId="0" applyFont="1" applyFill="1" applyBorder="1" applyAlignment="1">
      <alignment horizontal="center" vertical="center" wrapText="1"/>
    </xf>
    <xf numFmtId="0" fontId="24" fillId="6" borderId="72" xfId="0" applyFont="1" applyFill="1" applyBorder="1" applyAlignment="1">
      <alignment horizontal="center" vertical="center" wrapText="1"/>
    </xf>
    <xf numFmtId="0" fontId="24" fillId="6" borderId="59" xfId="0" applyFont="1" applyFill="1" applyBorder="1" applyAlignment="1">
      <alignment horizontal="center" vertical="center" wrapText="1"/>
    </xf>
    <xf numFmtId="0" fontId="24" fillId="6" borderId="30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52" xfId="0" applyFont="1" applyFill="1" applyBorder="1" applyAlignment="1">
      <alignment horizontal="center" vertical="center" wrapText="1"/>
    </xf>
    <xf numFmtId="0" fontId="24" fillId="6" borderId="33" xfId="0" applyFont="1" applyFill="1" applyBorder="1" applyAlignment="1">
      <alignment horizontal="center" vertical="center" wrapText="1"/>
    </xf>
    <xf numFmtId="0" fontId="24" fillId="6" borderId="32" xfId="0" applyFont="1" applyFill="1" applyBorder="1" applyAlignment="1">
      <alignment horizontal="center" vertical="center" wrapText="1"/>
    </xf>
    <xf numFmtId="3" fontId="35" fillId="6" borderId="15" xfId="0" applyNumberFormat="1" applyFont="1" applyFill="1" applyBorder="1" applyAlignment="1">
      <alignment horizontal="left" vertical="center" wrapText="1"/>
    </xf>
    <xf numFmtId="3" fontId="35" fillId="3" borderId="16" xfId="0" applyNumberFormat="1" applyFont="1" applyFill="1" applyBorder="1" applyAlignment="1">
      <alignment horizontal="center" vertical="center"/>
    </xf>
    <xf numFmtId="3" fontId="35" fillId="3" borderId="13" xfId="0" applyNumberFormat="1" applyFont="1" applyFill="1" applyBorder="1" applyAlignment="1">
      <alignment horizontal="center" vertical="center"/>
    </xf>
    <xf numFmtId="3" fontId="35" fillId="3" borderId="9" xfId="0" applyNumberFormat="1" applyFont="1" applyFill="1" applyBorder="1" applyAlignment="1">
      <alignment horizontal="center" vertical="center"/>
    </xf>
    <xf numFmtId="3" fontId="21" fillId="6" borderId="61" xfId="0" applyNumberFormat="1" applyFont="1" applyFill="1" applyBorder="1" applyAlignment="1">
      <alignment horizontal="center" vertical="center"/>
    </xf>
    <xf numFmtId="3" fontId="21" fillId="6" borderId="72" xfId="0" applyNumberFormat="1" applyFont="1" applyFill="1" applyBorder="1" applyAlignment="1">
      <alignment horizontal="center" vertical="center"/>
    </xf>
    <xf numFmtId="3" fontId="21" fillId="6" borderId="59" xfId="0" applyNumberFormat="1" applyFont="1" applyFill="1" applyBorder="1" applyAlignment="1">
      <alignment horizontal="center" vertical="center"/>
    </xf>
    <xf numFmtId="3" fontId="21" fillId="6" borderId="30" xfId="0" applyNumberFormat="1" applyFont="1" applyFill="1" applyBorder="1" applyAlignment="1">
      <alignment horizontal="center" vertical="center"/>
    </xf>
    <xf numFmtId="3" fontId="21" fillId="6" borderId="0" xfId="0" applyNumberFormat="1" applyFont="1" applyFill="1" applyBorder="1" applyAlignment="1">
      <alignment horizontal="center" vertical="center"/>
    </xf>
    <xf numFmtId="3" fontId="21" fillId="6" borderId="6" xfId="0" applyNumberFormat="1" applyFont="1" applyFill="1" applyBorder="1" applyAlignment="1">
      <alignment horizontal="center" vertical="center"/>
    </xf>
    <xf numFmtId="3" fontId="21" fillId="6" borderId="52" xfId="0" applyNumberFormat="1" applyFont="1" applyFill="1" applyBorder="1" applyAlignment="1">
      <alignment horizontal="center" vertical="center"/>
    </xf>
    <xf numFmtId="3" fontId="21" fillId="6" borderId="33" xfId="0" applyNumberFormat="1" applyFont="1" applyFill="1" applyBorder="1" applyAlignment="1">
      <alignment horizontal="center" vertical="center"/>
    </xf>
    <xf numFmtId="3" fontId="21" fillId="6" borderId="32" xfId="0" applyNumberFormat="1" applyFont="1" applyFill="1" applyBorder="1" applyAlignment="1">
      <alignment horizontal="center" vertical="center"/>
    </xf>
    <xf numFmtId="3" fontId="35" fillId="0" borderId="15" xfId="0" applyNumberFormat="1" applyFont="1" applyFill="1" applyBorder="1" applyAlignment="1">
      <alignment horizontal="center" vertical="center"/>
    </xf>
    <xf numFmtId="3" fontId="35" fillId="0" borderId="15" xfId="0" applyNumberFormat="1" applyFont="1" applyFill="1" applyBorder="1" applyAlignment="1">
      <alignment horizontal="left" vertical="center" wrapText="1"/>
    </xf>
    <xf numFmtId="3" fontId="35" fillId="3" borderId="15" xfId="0" applyNumberFormat="1" applyFont="1" applyFill="1" applyBorder="1" applyAlignment="1">
      <alignment horizontal="center" vertical="center"/>
    </xf>
    <xf numFmtId="3" fontId="35" fillId="8" borderId="15" xfId="0" applyNumberFormat="1" applyFont="1" applyFill="1" applyBorder="1" applyAlignment="1">
      <alignment horizontal="center" vertical="center"/>
    </xf>
    <xf numFmtId="3" fontId="21" fillId="10" borderId="63" xfId="0" applyNumberFormat="1" applyFont="1" applyFill="1" applyBorder="1" applyAlignment="1">
      <alignment horizontal="center" vertical="center"/>
    </xf>
    <xf numFmtId="3" fontId="21" fillId="10" borderId="72" xfId="0" applyNumberFormat="1" applyFont="1" applyFill="1" applyBorder="1" applyAlignment="1">
      <alignment horizontal="center" vertical="center"/>
    </xf>
    <xf numFmtId="3" fontId="21" fillId="10" borderId="59" xfId="0" applyNumberFormat="1" applyFont="1" applyFill="1" applyBorder="1" applyAlignment="1">
      <alignment horizontal="center" vertical="center"/>
    </xf>
    <xf numFmtId="3" fontId="21" fillId="10" borderId="1" xfId="0" applyNumberFormat="1" applyFont="1" applyFill="1" applyBorder="1" applyAlignment="1">
      <alignment horizontal="center" vertical="center"/>
    </xf>
    <xf numFmtId="3" fontId="21" fillId="10" borderId="0" xfId="0" applyNumberFormat="1" applyFont="1" applyFill="1" applyBorder="1" applyAlignment="1">
      <alignment horizontal="center" vertical="center"/>
    </xf>
    <xf numFmtId="3" fontId="21" fillId="10" borderId="6" xfId="0" applyNumberFormat="1" applyFont="1" applyFill="1" applyBorder="1" applyAlignment="1">
      <alignment horizontal="center" vertical="center"/>
    </xf>
    <xf numFmtId="3" fontId="21" fillId="10" borderId="31" xfId="0" applyNumberFormat="1" applyFont="1" applyFill="1" applyBorder="1" applyAlignment="1">
      <alignment horizontal="center" vertical="center"/>
    </xf>
    <xf numFmtId="3" fontId="21" fillId="10" borderId="33" xfId="0" applyNumberFormat="1" applyFont="1" applyFill="1" applyBorder="1" applyAlignment="1">
      <alignment horizontal="center" vertical="center"/>
    </xf>
    <xf numFmtId="3" fontId="21" fillId="10" borderId="32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21" fillId="10" borderId="9" xfId="0" applyNumberFormat="1" applyFont="1" applyFill="1" applyBorder="1" applyAlignment="1">
      <alignment horizontal="center" vertical="center"/>
    </xf>
    <xf numFmtId="3" fontId="21" fillId="10" borderId="13" xfId="0" applyNumberFormat="1" applyFont="1" applyFill="1" applyBorder="1" applyAlignment="1">
      <alignment horizontal="center" vertical="center"/>
    </xf>
    <xf numFmtId="3" fontId="21" fillId="10" borderId="15" xfId="0" applyNumberFormat="1" applyFont="1" applyFill="1" applyBorder="1" applyAlignment="1">
      <alignment horizontal="center" vertical="center"/>
    </xf>
    <xf numFmtId="3" fontId="23" fillId="8" borderId="15" xfId="0" applyNumberFormat="1" applyFont="1" applyFill="1" applyBorder="1" applyAlignment="1">
      <alignment horizontal="center" vertical="center"/>
    </xf>
    <xf numFmtId="3" fontId="21" fillId="12" borderId="16" xfId="0" applyNumberFormat="1" applyFont="1" applyFill="1" applyBorder="1" applyAlignment="1">
      <alignment horizontal="center" vertical="center"/>
    </xf>
    <xf numFmtId="3" fontId="21" fillId="12" borderId="9" xfId="0" applyNumberFormat="1" applyFont="1" applyFill="1" applyBorder="1" applyAlignment="1">
      <alignment horizontal="center" vertical="center"/>
    </xf>
    <xf numFmtId="3" fontId="21" fillId="12" borderId="13" xfId="0" applyNumberFormat="1" applyFont="1" applyFill="1" applyBorder="1" applyAlignment="1">
      <alignment horizontal="center" vertical="center"/>
    </xf>
    <xf numFmtId="3" fontId="21" fillId="10" borderId="61" xfId="0" applyNumberFormat="1" applyFont="1" applyFill="1" applyBorder="1" applyAlignment="1">
      <alignment horizontal="center" vertical="center"/>
    </xf>
    <xf numFmtId="3" fontId="21" fillId="10" borderId="30" xfId="0" applyNumberFormat="1" applyFont="1" applyFill="1" applyBorder="1" applyAlignment="1">
      <alignment horizontal="center" vertical="center"/>
    </xf>
    <xf numFmtId="3" fontId="21" fillId="10" borderId="52" xfId="0" applyNumberFormat="1" applyFont="1" applyFill="1" applyBorder="1" applyAlignment="1">
      <alignment horizontal="center" vertical="center"/>
    </xf>
    <xf numFmtId="3" fontId="35" fillId="3" borderId="61" xfId="0" applyNumberFormat="1" applyFont="1" applyFill="1" applyBorder="1" applyAlignment="1">
      <alignment horizontal="center" vertical="center"/>
    </xf>
    <xf numFmtId="3" fontId="35" fillId="3" borderId="72" xfId="0" applyNumberFormat="1" applyFont="1" applyFill="1" applyBorder="1" applyAlignment="1">
      <alignment horizontal="center" vertical="center"/>
    </xf>
    <xf numFmtId="3" fontId="35" fillId="3" borderId="59" xfId="0" applyNumberFormat="1" applyFont="1" applyFill="1" applyBorder="1" applyAlignment="1">
      <alignment horizontal="center" vertical="center"/>
    </xf>
    <xf numFmtId="3" fontId="35" fillId="3" borderId="30" xfId="0" applyNumberFormat="1" applyFont="1" applyFill="1" applyBorder="1" applyAlignment="1">
      <alignment horizontal="center" vertical="center"/>
    </xf>
    <xf numFmtId="3" fontId="35" fillId="3" borderId="0" xfId="0" applyNumberFormat="1" applyFont="1" applyFill="1" applyBorder="1" applyAlignment="1">
      <alignment horizontal="center" vertical="center"/>
    </xf>
    <xf numFmtId="3" fontId="35" fillId="3" borderId="6" xfId="0" applyNumberFormat="1" applyFont="1" applyFill="1" applyBorder="1" applyAlignment="1">
      <alignment horizontal="center" vertical="center"/>
    </xf>
    <xf numFmtId="3" fontId="35" fillId="3" borderId="52" xfId="0" applyNumberFormat="1" applyFont="1" applyFill="1" applyBorder="1" applyAlignment="1">
      <alignment horizontal="center" vertical="center"/>
    </xf>
    <xf numFmtId="3" fontId="35" fillId="3" borderId="33" xfId="0" applyNumberFormat="1" applyFont="1" applyFill="1" applyBorder="1" applyAlignment="1">
      <alignment horizontal="center" vertical="center"/>
    </xf>
    <xf numFmtId="3" fontId="35" fillId="3" borderId="32" xfId="0" applyNumberFormat="1" applyFont="1" applyFill="1" applyBorder="1" applyAlignment="1">
      <alignment horizontal="center" vertical="center"/>
    </xf>
    <xf numFmtId="3" fontId="23" fillId="3" borderId="15" xfId="0" applyNumberFormat="1" applyFont="1" applyFill="1" applyBorder="1" applyAlignment="1">
      <alignment horizontal="center" vertical="center"/>
    </xf>
    <xf numFmtId="3" fontId="45" fillId="12" borderId="16" xfId="0" applyNumberFormat="1" applyFont="1" applyFill="1" applyBorder="1" applyAlignment="1">
      <alignment horizontal="center" vertical="center"/>
    </xf>
    <xf numFmtId="3" fontId="45" fillId="12" borderId="9" xfId="0" applyNumberFormat="1" applyFont="1" applyFill="1" applyBorder="1" applyAlignment="1">
      <alignment horizontal="center" vertical="center"/>
    </xf>
    <xf numFmtId="3" fontId="45" fillId="12" borderId="13" xfId="0" applyNumberFormat="1" applyFont="1" applyFill="1" applyBorder="1" applyAlignment="1">
      <alignment horizontal="center" vertical="center"/>
    </xf>
    <xf numFmtId="3" fontId="13" fillId="12" borderId="16" xfId="0" applyNumberFormat="1" applyFont="1" applyFill="1" applyBorder="1" applyAlignment="1">
      <alignment horizontal="center" vertical="center"/>
    </xf>
    <xf numFmtId="3" fontId="13" fillId="12" borderId="9" xfId="0" applyNumberFormat="1" applyFont="1" applyFill="1" applyBorder="1" applyAlignment="1">
      <alignment horizontal="center" vertical="center"/>
    </xf>
    <xf numFmtId="3" fontId="45" fillId="10" borderId="16" xfId="0" applyNumberFormat="1" applyFont="1" applyFill="1" applyBorder="1" applyAlignment="1">
      <alignment horizontal="center" vertical="center"/>
    </xf>
    <xf numFmtId="3" fontId="45" fillId="10" borderId="9" xfId="0" applyNumberFormat="1" applyFont="1" applyFill="1" applyBorder="1" applyAlignment="1">
      <alignment horizontal="center" vertical="center"/>
    </xf>
    <xf numFmtId="3" fontId="45" fillId="10" borderId="13" xfId="0" applyNumberFormat="1" applyFont="1" applyFill="1" applyBorder="1" applyAlignment="1">
      <alignment horizontal="center" vertical="center"/>
    </xf>
    <xf numFmtId="3" fontId="29" fillId="10" borderId="61" xfId="0" applyNumberFormat="1" applyFont="1" applyFill="1" applyBorder="1" applyAlignment="1">
      <alignment horizontal="center" vertical="center"/>
    </xf>
    <xf numFmtId="3" fontId="29" fillId="10" borderId="72" xfId="0" applyNumberFormat="1" applyFont="1" applyFill="1" applyBorder="1" applyAlignment="1">
      <alignment horizontal="center" vertical="center"/>
    </xf>
    <xf numFmtId="3" fontId="29" fillId="10" borderId="59" xfId="0" applyNumberFormat="1" applyFont="1" applyFill="1" applyBorder="1" applyAlignment="1">
      <alignment horizontal="center" vertical="center"/>
    </xf>
    <xf numFmtId="3" fontId="29" fillId="10" borderId="30" xfId="0" applyNumberFormat="1" applyFont="1" applyFill="1" applyBorder="1" applyAlignment="1">
      <alignment horizontal="center" vertical="center"/>
    </xf>
    <xf numFmtId="3" fontId="29" fillId="10" borderId="0" xfId="0" applyNumberFormat="1" applyFont="1" applyFill="1" applyBorder="1" applyAlignment="1">
      <alignment horizontal="center" vertical="center"/>
    </xf>
    <xf numFmtId="3" fontId="29" fillId="10" borderId="6" xfId="0" applyNumberFormat="1" applyFont="1" applyFill="1" applyBorder="1" applyAlignment="1">
      <alignment horizontal="center" vertical="center"/>
    </xf>
    <xf numFmtId="3" fontId="21" fillId="20" borderId="104" xfId="0" applyNumberFormat="1" applyFont="1" applyFill="1" applyBorder="1" applyAlignment="1">
      <alignment horizontal="left" vertical="center"/>
    </xf>
    <xf numFmtId="3" fontId="21" fillId="20" borderId="105" xfId="0" applyNumberFormat="1" applyFont="1" applyFill="1" applyBorder="1" applyAlignment="1">
      <alignment horizontal="left" vertical="center"/>
    </xf>
    <xf numFmtId="3" fontId="21" fillId="20" borderId="106" xfId="0" applyNumberFormat="1" applyFont="1" applyFill="1" applyBorder="1" applyAlignment="1">
      <alignment horizontal="left" vertical="center"/>
    </xf>
    <xf numFmtId="3" fontId="24" fillId="3" borderId="19" xfId="0" applyNumberFormat="1" applyFont="1" applyFill="1" applyBorder="1" applyAlignment="1">
      <alignment horizontal="center" vertical="center" wrapText="1"/>
    </xf>
    <xf numFmtId="3" fontId="24" fillId="3" borderId="21" xfId="0" applyNumberFormat="1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>
      <alignment horizontal="center" vertical="center" textRotation="1"/>
    </xf>
    <xf numFmtId="0" fontId="0" fillId="3" borderId="5" xfId="0" applyFont="1" applyFill="1" applyBorder="1" applyAlignment="1">
      <alignment horizontal="center" vertical="center" textRotation="1"/>
    </xf>
    <xf numFmtId="3" fontId="13" fillId="3" borderId="7" xfId="0" applyNumberFormat="1" applyFont="1" applyFill="1" applyBorder="1" applyAlignment="1">
      <alignment horizontal="center" vertical="center"/>
    </xf>
    <xf numFmtId="3" fontId="13" fillId="3" borderId="35" xfId="0" applyNumberFormat="1" applyFont="1" applyFill="1" applyBorder="1" applyAlignment="1">
      <alignment horizontal="center" vertical="center"/>
    </xf>
    <xf numFmtId="3" fontId="45" fillId="5" borderId="22" xfId="0" applyNumberFormat="1" applyFont="1" applyFill="1" applyBorder="1" applyAlignment="1">
      <alignment horizontal="center" vertical="center"/>
    </xf>
    <xf numFmtId="3" fontId="45" fillId="5" borderId="34" xfId="0" applyNumberFormat="1" applyFont="1" applyFill="1" applyBorder="1" applyAlignment="1">
      <alignment horizontal="center" vertical="center"/>
    </xf>
    <xf numFmtId="3" fontId="35" fillId="3" borderId="10" xfId="0" applyNumberFormat="1" applyFont="1" applyFill="1" applyBorder="1" applyAlignment="1">
      <alignment horizontal="center" vertical="center" wrapText="1"/>
    </xf>
    <xf numFmtId="3" fontId="35" fillId="3" borderId="5" xfId="0" applyNumberFormat="1" applyFont="1" applyFill="1" applyBorder="1" applyAlignment="1">
      <alignment horizontal="center" vertical="center" wrapText="1"/>
    </xf>
    <xf numFmtId="3" fontId="24" fillId="3" borderId="10" xfId="0" applyNumberFormat="1" applyFont="1" applyFill="1" applyBorder="1" applyAlignment="1">
      <alignment horizontal="center" vertical="center" wrapText="1"/>
    </xf>
    <xf numFmtId="3" fontId="24" fillId="3" borderId="5" xfId="0" applyNumberFormat="1" applyFont="1" applyFill="1" applyBorder="1" applyAlignment="1">
      <alignment horizontal="center" vertical="center" wrapText="1"/>
    </xf>
    <xf numFmtId="3" fontId="21" fillId="10" borderId="86" xfId="0" applyNumberFormat="1" applyFont="1" applyFill="1" applyBorder="1" applyAlignment="1">
      <alignment horizontal="center" vertical="center"/>
    </xf>
    <xf numFmtId="3" fontId="21" fillId="10" borderId="87" xfId="0" applyNumberFormat="1" applyFont="1" applyFill="1" applyBorder="1" applyAlignment="1">
      <alignment horizontal="center" vertical="center"/>
    </xf>
    <xf numFmtId="3" fontId="21" fillId="10" borderId="60" xfId="0" applyNumberFormat="1" applyFont="1" applyFill="1" applyBorder="1" applyAlignment="1">
      <alignment horizontal="center" vertical="center"/>
    </xf>
    <xf numFmtId="3" fontId="24" fillId="12" borderId="107" xfId="0" applyNumberFormat="1" applyFont="1" applyFill="1" applyBorder="1" applyAlignment="1">
      <alignment horizontal="left" vertical="center"/>
    </xf>
    <xf numFmtId="3" fontId="24" fillId="12" borderId="108" xfId="0" applyNumberFormat="1" applyFont="1" applyFill="1" applyBorder="1" applyAlignment="1">
      <alignment horizontal="left" vertical="center"/>
    </xf>
    <xf numFmtId="3" fontId="35" fillId="8" borderId="9" xfId="0" applyNumberFormat="1" applyFont="1" applyFill="1" applyBorder="1" applyAlignment="1">
      <alignment horizontal="center" vertical="center"/>
    </xf>
    <xf numFmtId="3" fontId="35" fillId="8" borderId="13" xfId="0" applyNumberFormat="1" applyFont="1" applyFill="1" applyBorder="1" applyAlignment="1">
      <alignment horizontal="center" vertical="center"/>
    </xf>
    <xf numFmtId="3" fontId="35" fillId="8" borderId="1" xfId="0" applyNumberFormat="1" applyFont="1" applyFill="1" applyBorder="1" applyAlignment="1">
      <alignment horizontal="center" vertical="center"/>
    </xf>
    <xf numFmtId="3" fontId="35" fillId="8" borderId="6" xfId="0" applyNumberFormat="1" applyFont="1" applyFill="1" applyBorder="1" applyAlignment="1">
      <alignment horizontal="center" vertical="center"/>
    </xf>
    <xf numFmtId="3" fontId="35" fillId="8" borderId="16" xfId="0" applyNumberFormat="1" applyFont="1" applyFill="1" applyBorder="1" applyAlignment="1">
      <alignment horizontal="center" vertical="center"/>
    </xf>
    <xf numFmtId="3" fontId="104" fillId="8" borderId="52" xfId="0" applyNumberFormat="1" applyFont="1" applyFill="1" applyBorder="1" applyAlignment="1">
      <alignment horizontal="left" vertical="center"/>
    </xf>
    <xf numFmtId="3" fontId="104" fillId="8" borderId="33" xfId="0" applyNumberFormat="1" applyFont="1" applyFill="1" applyBorder="1" applyAlignment="1">
      <alignment horizontal="left" vertical="center"/>
    </xf>
    <xf numFmtId="3" fontId="104" fillId="8" borderId="32" xfId="0" applyNumberFormat="1" applyFont="1" applyFill="1" applyBorder="1" applyAlignment="1">
      <alignment horizontal="left" vertical="center"/>
    </xf>
    <xf numFmtId="3" fontId="21" fillId="12" borderId="107" xfId="0" applyNumberFormat="1" applyFont="1" applyFill="1" applyBorder="1" applyAlignment="1">
      <alignment horizontal="left" vertical="center"/>
    </xf>
    <xf numFmtId="3" fontId="21" fillId="12" borderId="108" xfId="0" applyNumberFormat="1" applyFont="1" applyFill="1" applyBorder="1" applyAlignment="1">
      <alignment horizontal="left" vertical="center"/>
    </xf>
    <xf numFmtId="3" fontId="24" fillId="10" borderId="15" xfId="0" applyNumberFormat="1" applyFont="1" applyFill="1" applyBorder="1" applyAlignment="1">
      <alignment horizontal="left" vertical="center"/>
    </xf>
    <xf numFmtId="3" fontId="4" fillId="3" borderId="0" xfId="0" applyNumberFormat="1" applyFont="1" applyFill="1" applyAlignment="1">
      <alignment horizontal="right" vertical="top"/>
    </xf>
    <xf numFmtId="3" fontId="104" fillId="8" borderId="15" xfId="0" applyNumberFormat="1" applyFont="1" applyFill="1" applyBorder="1" applyAlignment="1">
      <alignment horizontal="center" vertical="center"/>
    </xf>
    <xf numFmtId="3" fontId="35" fillId="0" borderId="16" xfId="0" applyNumberFormat="1" applyFont="1" applyFill="1" applyBorder="1" applyAlignment="1">
      <alignment horizontal="center" vertical="center"/>
    </xf>
    <xf numFmtId="3" fontId="35" fillId="0" borderId="9" xfId="0" applyNumberFormat="1" applyFont="1" applyFill="1" applyBorder="1" applyAlignment="1">
      <alignment horizontal="center" vertical="center"/>
    </xf>
    <xf numFmtId="3" fontId="35" fillId="0" borderId="13" xfId="0" applyNumberFormat="1" applyFont="1" applyFill="1" applyBorder="1" applyAlignment="1">
      <alignment horizontal="center" vertical="center"/>
    </xf>
    <xf numFmtId="3" fontId="35" fillId="0" borderId="61" xfId="0" applyNumberFormat="1" applyFont="1" applyFill="1" applyBorder="1" applyAlignment="1">
      <alignment horizontal="center" vertical="center"/>
    </xf>
    <xf numFmtId="3" fontId="35" fillId="0" borderId="59" xfId="0" applyNumberFormat="1" applyFont="1" applyFill="1" applyBorder="1" applyAlignment="1">
      <alignment horizontal="center" vertical="center"/>
    </xf>
    <xf numFmtId="3" fontId="35" fillId="0" borderId="30" xfId="0" applyNumberFormat="1" applyFont="1" applyFill="1" applyBorder="1" applyAlignment="1">
      <alignment horizontal="center" vertical="center"/>
    </xf>
    <xf numFmtId="3" fontId="35" fillId="0" borderId="6" xfId="0" applyNumberFormat="1" applyFont="1" applyFill="1" applyBorder="1" applyAlignment="1">
      <alignment horizontal="center" vertical="center"/>
    </xf>
    <xf numFmtId="3" fontId="35" fillId="0" borderId="52" xfId="0" applyNumberFormat="1" applyFont="1" applyFill="1" applyBorder="1" applyAlignment="1">
      <alignment horizontal="center" vertical="center"/>
    </xf>
    <xf numFmtId="3" fontId="35" fillId="0" borderId="32" xfId="0" applyNumberFormat="1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1" fontId="21" fillId="0" borderId="16" xfId="2" applyNumberFormat="1" applyFont="1" applyFill="1" applyBorder="1" applyAlignment="1">
      <alignment horizontal="center" vertical="center" wrapText="1"/>
    </xf>
    <xf numFmtId="1" fontId="21" fillId="0" borderId="9" xfId="2" applyNumberFormat="1" applyFont="1" applyFill="1" applyBorder="1" applyAlignment="1">
      <alignment horizontal="center" vertical="center" wrapText="1"/>
    </xf>
    <xf numFmtId="1" fontId="21" fillId="0" borderId="13" xfId="2" applyNumberFormat="1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5" xfId="0" quotePrefix="1" applyFont="1" applyBorder="1" applyAlignment="1">
      <alignment horizontal="center" vertical="center" wrapText="1"/>
    </xf>
    <xf numFmtId="1" fontId="21" fillId="0" borderId="15" xfId="2" applyNumberFormat="1" applyFont="1" applyFill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49" fontId="9" fillId="4" borderId="122" xfId="2" applyNumberFormat="1" applyFont="1" applyFill="1" applyBorder="1" applyAlignment="1">
      <alignment horizontal="center" vertical="center"/>
    </xf>
    <xf numFmtId="49" fontId="9" fillId="4" borderId="123" xfId="2" applyNumberFormat="1" applyFont="1" applyFill="1" applyBorder="1" applyAlignment="1">
      <alignment horizontal="center" vertical="center"/>
    </xf>
    <xf numFmtId="49" fontId="9" fillId="4" borderId="124" xfId="2" applyNumberFormat="1" applyFont="1" applyFill="1" applyBorder="1" applyAlignment="1">
      <alignment horizontal="center" vertical="center"/>
    </xf>
    <xf numFmtId="3" fontId="9" fillId="22" borderId="82" xfId="2" applyNumberFormat="1" applyFont="1" applyFill="1" applyBorder="1" applyAlignment="1">
      <alignment horizontal="center" vertical="center"/>
    </xf>
    <xf numFmtId="3" fontId="10" fillId="22" borderId="82" xfId="2" applyNumberFormat="1" applyFont="1" applyFill="1" applyBorder="1" applyAlignment="1">
      <alignment horizontal="left" vertical="center"/>
    </xf>
    <xf numFmtId="49" fontId="10" fillId="22" borderId="82" xfId="2" applyNumberFormat="1" applyFont="1" applyFill="1" applyBorder="1" applyAlignment="1">
      <alignment horizontal="center" vertical="center"/>
    </xf>
    <xf numFmtId="3" fontId="10" fillId="6" borderId="68" xfId="2" applyNumberFormat="1" applyFont="1" applyFill="1" applyBorder="1" applyAlignment="1">
      <alignment horizontal="left" vertical="center"/>
    </xf>
    <xf numFmtId="3" fontId="10" fillId="6" borderId="69" xfId="2" applyNumberFormat="1" applyFont="1" applyFill="1" applyBorder="1" applyAlignment="1">
      <alignment horizontal="left" vertical="center"/>
    </xf>
    <xf numFmtId="3" fontId="10" fillId="6" borderId="51" xfId="2" applyNumberFormat="1" applyFont="1" applyFill="1" applyBorder="1" applyAlignment="1">
      <alignment horizontal="left" vertical="center"/>
    </xf>
    <xf numFmtId="3" fontId="9" fillId="6" borderId="82" xfId="2" applyNumberFormat="1" applyFont="1" applyFill="1" applyBorder="1" applyAlignment="1">
      <alignment horizontal="center" vertical="center"/>
    </xf>
    <xf numFmtId="3" fontId="17" fillId="3" borderId="88" xfId="2" applyNumberFormat="1" applyFont="1" applyFill="1" applyBorder="1" applyAlignment="1">
      <alignment horizontal="left" vertical="center"/>
    </xf>
    <xf numFmtId="0" fontId="17" fillId="3" borderId="88" xfId="0" applyFont="1" applyFill="1" applyBorder="1" applyAlignment="1">
      <alignment horizontal="left" vertical="center"/>
    </xf>
    <xf numFmtId="3" fontId="9" fillId="6" borderId="82" xfId="2" applyNumberFormat="1" applyFont="1" applyFill="1" applyBorder="1" applyAlignment="1">
      <alignment horizontal="center" vertical="center" wrapText="1"/>
    </xf>
    <xf numFmtId="49" fontId="9" fillId="22" borderId="82" xfId="2" applyNumberFormat="1" applyFont="1" applyFill="1" applyBorder="1" applyAlignment="1">
      <alignment horizontal="center" vertical="center"/>
    </xf>
    <xf numFmtId="49" fontId="9" fillId="22" borderId="79" xfId="2" applyNumberFormat="1" applyFont="1" applyFill="1" applyBorder="1" applyAlignment="1">
      <alignment horizontal="center" vertical="center"/>
    </xf>
    <xf numFmtId="3" fontId="10" fillId="6" borderId="82" xfId="2" applyNumberFormat="1" applyFont="1" applyFill="1" applyBorder="1" applyAlignment="1">
      <alignment horizontal="center" vertical="center"/>
    </xf>
    <xf numFmtId="3" fontId="66" fillId="3" borderId="0" xfId="2" applyNumberFormat="1" applyFont="1" applyFill="1" applyBorder="1" applyAlignment="1">
      <alignment horizontal="right" vertical="center"/>
    </xf>
    <xf numFmtId="3" fontId="110" fillId="3" borderId="1" xfId="2" applyNumberFormat="1" applyFont="1" applyFill="1" applyBorder="1" applyAlignment="1">
      <alignment horizontal="center" vertical="center"/>
    </xf>
    <xf numFmtId="3" fontId="110" fillId="3" borderId="6" xfId="2" applyNumberFormat="1" applyFont="1" applyFill="1" applyBorder="1" applyAlignment="1">
      <alignment horizontal="center" vertical="center"/>
    </xf>
    <xf numFmtId="1" fontId="50" fillId="3" borderId="19" xfId="2" applyNumberFormat="1" applyFont="1" applyFill="1" applyBorder="1" applyAlignment="1">
      <alignment horizontal="center" vertical="center" wrapText="1"/>
    </xf>
    <xf numFmtId="1" fontId="50" fillId="3" borderId="20" xfId="2" applyNumberFormat="1" applyFont="1" applyFill="1" applyBorder="1" applyAlignment="1">
      <alignment horizontal="center" vertical="center" wrapText="1"/>
    </xf>
    <xf numFmtId="1" fontId="50" fillId="3" borderId="21" xfId="2" applyNumberFormat="1" applyFont="1" applyFill="1" applyBorder="1" applyAlignment="1">
      <alignment horizontal="center" vertical="center" wrapText="1"/>
    </xf>
    <xf numFmtId="3" fontId="19" fillId="3" borderId="69" xfId="2" applyNumberFormat="1" applyFont="1" applyFill="1" applyBorder="1" applyAlignment="1">
      <alignment horizontal="center" vertical="center" wrapText="1"/>
    </xf>
    <xf numFmtId="3" fontId="19" fillId="3" borderId="51" xfId="2" applyNumberFormat="1" applyFont="1" applyFill="1" applyBorder="1" applyAlignment="1">
      <alignment horizontal="center" vertical="center" wrapText="1"/>
    </xf>
    <xf numFmtId="3" fontId="19" fillId="3" borderId="79" xfId="2" applyNumberFormat="1" applyFont="1" applyFill="1" applyBorder="1" applyAlignment="1">
      <alignment horizontal="center" vertical="center" wrapText="1"/>
    </xf>
    <xf numFmtId="3" fontId="19" fillId="3" borderId="83" xfId="2" applyNumberFormat="1" applyFont="1" applyFill="1" applyBorder="1" applyAlignment="1">
      <alignment horizontal="center" vertical="center" wrapText="1"/>
    </xf>
    <xf numFmtId="3" fontId="9" fillId="3" borderId="69" xfId="2" applyNumberFormat="1" applyFont="1" applyFill="1" applyBorder="1" applyAlignment="1">
      <alignment horizontal="center" vertical="center" wrapText="1"/>
    </xf>
    <xf numFmtId="3" fontId="9" fillId="3" borderId="51" xfId="2" applyNumberFormat="1" applyFont="1" applyFill="1" applyBorder="1" applyAlignment="1">
      <alignment horizontal="center" vertical="center" wrapText="1"/>
    </xf>
    <xf numFmtId="3" fontId="110" fillId="3" borderId="17" xfId="2" applyNumberFormat="1" applyFont="1" applyFill="1" applyBorder="1" applyAlignment="1">
      <alignment horizontal="center" vertical="center"/>
    </xf>
    <xf numFmtId="3" fontId="110" fillId="3" borderId="7" xfId="2" applyNumberFormat="1" applyFont="1" applyFill="1" applyBorder="1" applyAlignment="1">
      <alignment horizontal="center" vertical="center"/>
    </xf>
    <xf numFmtId="3" fontId="110" fillId="3" borderId="4" xfId="2" applyNumberFormat="1" applyFont="1" applyFill="1" applyBorder="1" applyAlignment="1">
      <alignment horizontal="center" vertical="center"/>
    </xf>
    <xf numFmtId="3" fontId="110" fillId="3" borderId="35" xfId="2" applyNumberFormat="1" applyFont="1" applyFill="1" applyBorder="1" applyAlignment="1">
      <alignment horizontal="center" vertical="center"/>
    </xf>
    <xf numFmtId="3" fontId="19" fillId="3" borderId="34" xfId="2" applyNumberFormat="1" applyFont="1" applyFill="1" applyBorder="1" applyAlignment="1">
      <alignment horizontal="center" vertical="center" wrapText="1"/>
    </xf>
    <xf numFmtId="3" fontId="19" fillId="3" borderId="36" xfId="2" applyNumberFormat="1" applyFont="1" applyFill="1" applyBorder="1" applyAlignment="1">
      <alignment horizontal="center" vertical="center" wrapText="1"/>
    </xf>
    <xf numFmtId="3" fontId="39" fillId="3" borderId="36" xfId="0" applyNumberFormat="1" applyFont="1" applyFill="1" applyBorder="1" applyAlignment="1">
      <alignment horizontal="center" vertical="center" wrapText="1"/>
    </xf>
    <xf numFmtId="3" fontId="39" fillId="3" borderId="83" xfId="0" applyNumberFormat="1" applyFont="1" applyFill="1" applyBorder="1" applyAlignment="1">
      <alignment horizontal="center" vertical="center" wrapText="1"/>
    </xf>
    <xf numFmtId="4" fontId="19" fillId="3" borderId="34" xfId="2" applyNumberFormat="1" applyFont="1" applyFill="1" applyBorder="1" applyAlignment="1">
      <alignment horizontal="center" vertical="center" wrapText="1"/>
    </xf>
    <xf numFmtId="4" fontId="19" fillId="3" borderId="39" xfId="2" applyNumberFormat="1" applyFont="1" applyFill="1" applyBorder="1" applyAlignment="1">
      <alignment horizontal="center" vertical="center" wrapText="1"/>
    </xf>
    <xf numFmtId="4" fontId="19" fillId="3" borderId="36" xfId="2" applyNumberFormat="1" applyFont="1" applyFill="1" applyBorder="1" applyAlignment="1">
      <alignment horizontal="center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49" fontId="9" fillId="3" borderId="5" xfId="2" applyNumberFormat="1" applyFont="1" applyFill="1" applyBorder="1" applyAlignment="1">
      <alignment horizontal="center" vertical="center" wrapText="1"/>
    </xf>
    <xf numFmtId="1" fontId="50" fillId="3" borderId="10" xfId="2" applyNumberFormat="1" applyFont="1" applyFill="1" applyBorder="1" applyAlignment="1">
      <alignment horizontal="center" vertical="center" wrapText="1"/>
    </xf>
    <xf numFmtId="1" fontId="50" fillId="3" borderId="9" xfId="2" applyNumberFormat="1" applyFont="1" applyFill="1" applyBorder="1" applyAlignment="1">
      <alignment horizontal="center" vertical="center" wrapText="1"/>
    </xf>
    <xf numFmtId="1" fontId="50" fillId="3" borderId="13" xfId="2" applyNumberFormat="1" applyFont="1" applyFill="1" applyBorder="1" applyAlignment="1">
      <alignment horizontal="center" vertical="center" wrapText="1"/>
    </xf>
    <xf numFmtId="1" fontId="50" fillId="3" borderId="16" xfId="2" applyNumberFormat="1" applyFont="1" applyFill="1" applyBorder="1" applyAlignment="1">
      <alignment horizontal="center" vertical="center" wrapText="1"/>
    </xf>
    <xf numFmtId="1" fontId="10" fillId="7" borderId="79" xfId="2" applyNumberFormat="1" applyFont="1" applyFill="1" applyBorder="1" applyAlignment="1">
      <alignment horizontal="center" vertical="center"/>
    </xf>
    <xf numFmtId="1" fontId="10" fillId="7" borderId="88" xfId="2" applyNumberFormat="1" applyFont="1" applyFill="1" applyBorder="1" applyAlignment="1">
      <alignment horizontal="center" vertical="center"/>
    </xf>
    <xf numFmtId="1" fontId="10" fillId="7" borderId="83" xfId="2" applyNumberFormat="1" applyFont="1" applyFill="1" applyBorder="1" applyAlignment="1">
      <alignment horizontal="center" vertical="center"/>
    </xf>
    <xf numFmtId="1" fontId="9" fillId="7" borderId="82" xfId="2" applyNumberFormat="1" applyFont="1" applyFill="1" applyBorder="1" applyAlignment="1">
      <alignment horizontal="center" vertical="center"/>
    </xf>
    <xf numFmtId="3" fontId="34" fillId="11" borderId="7" xfId="2" applyNumberFormat="1" applyFont="1" applyFill="1" applyBorder="1" applyAlignment="1">
      <alignment horizontal="center" vertical="center"/>
    </xf>
    <xf numFmtId="3" fontId="34" fillId="11" borderId="6" xfId="2" applyNumberFormat="1" applyFont="1" applyFill="1" applyBorder="1" applyAlignment="1">
      <alignment horizontal="center" vertical="center"/>
    </xf>
    <xf numFmtId="3" fontId="34" fillId="11" borderId="35" xfId="2" applyNumberFormat="1" applyFont="1" applyFill="1" applyBorder="1" applyAlignment="1">
      <alignment horizontal="center" vertical="center"/>
    </xf>
    <xf numFmtId="1" fontId="27" fillId="3" borderId="16" xfId="2" applyNumberFormat="1" applyFont="1" applyFill="1" applyBorder="1" applyAlignment="1">
      <alignment horizontal="center" vertical="center"/>
    </xf>
    <xf numFmtId="1" fontId="27" fillId="3" borderId="9" xfId="2" applyNumberFormat="1" applyFont="1" applyFill="1" applyBorder="1" applyAlignment="1">
      <alignment horizontal="center" vertical="center"/>
    </xf>
    <xf numFmtId="1" fontId="27" fillId="3" borderId="13" xfId="2" applyNumberFormat="1" applyFont="1" applyFill="1" applyBorder="1" applyAlignment="1">
      <alignment horizontal="center" vertical="center"/>
    </xf>
    <xf numFmtId="3" fontId="57" fillId="3" borderId="6" xfId="2" applyNumberFormat="1" applyFont="1" applyFill="1" applyBorder="1" applyAlignment="1">
      <alignment horizontal="center" vertical="center"/>
    </xf>
    <xf numFmtId="3" fontId="57" fillId="3" borderId="32" xfId="2" applyNumberFormat="1" applyFont="1" applyFill="1" applyBorder="1" applyAlignment="1">
      <alignment horizontal="center" vertical="center"/>
    </xf>
    <xf numFmtId="1" fontId="27" fillId="9" borderId="16" xfId="2" applyNumberFormat="1" applyFont="1" applyFill="1" applyBorder="1" applyAlignment="1">
      <alignment horizontal="center" vertical="center"/>
    </xf>
    <xf numFmtId="1" fontId="27" fillId="9" borderId="9" xfId="2" applyNumberFormat="1" applyFont="1" applyFill="1" applyBorder="1" applyAlignment="1">
      <alignment horizontal="center" vertical="center"/>
    </xf>
    <xf numFmtId="1" fontId="27" fillId="9" borderId="13" xfId="2" applyNumberFormat="1" applyFont="1" applyFill="1" applyBorder="1" applyAlignment="1">
      <alignment horizontal="center" vertical="center"/>
    </xf>
    <xf numFmtId="1" fontId="27" fillId="7" borderId="51" xfId="2" applyNumberFormat="1" applyFont="1" applyFill="1" applyBorder="1" applyAlignment="1">
      <alignment horizontal="center" vertical="center"/>
    </xf>
    <xf numFmtId="1" fontId="57" fillId="0" borderId="16" xfId="2" applyNumberFormat="1" applyFont="1" applyFill="1" applyBorder="1" applyAlignment="1">
      <alignment horizontal="center" vertical="center"/>
    </xf>
    <xf numFmtId="1" fontId="57" fillId="0" borderId="9" xfId="2" applyNumberFormat="1" applyFont="1" applyFill="1" applyBorder="1" applyAlignment="1">
      <alignment horizontal="center" vertical="center"/>
    </xf>
    <xf numFmtId="1" fontId="57" fillId="0" borderId="13" xfId="2" applyNumberFormat="1" applyFont="1" applyFill="1" applyBorder="1" applyAlignment="1">
      <alignment horizontal="center" vertical="center"/>
    </xf>
    <xf numFmtId="1" fontId="50" fillId="3" borderId="72" xfId="2" applyNumberFormat="1" applyFont="1" applyFill="1" applyBorder="1" applyAlignment="1">
      <alignment horizontal="center" vertical="center"/>
    </xf>
    <xf numFmtId="1" fontId="50" fillId="3" borderId="0" xfId="2" applyNumberFormat="1" applyFont="1" applyFill="1" applyBorder="1" applyAlignment="1">
      <alignment horizontal="center" vertical="center"/>
    </xf>
    <xf numFmtId="1" fontId="27" fillId="11" borderId="16" xfId="2" applyNumberFormat="1" applyFont="1" applyFill="1" applyBorder="1" applyAlignment="1">
      <alignment horizontal="center" vertical="center"/>
    </xf>
    <xf numFmtId="1" fontId="27" fillId="11" borderId="9" xfId="2" applyNumberFormat="1" applyFont="1" applyFill="1" applyBorder="1" applyAlignment="1">
      <alignment horizontal="center" vertical="center"/>
    </xf>
    <xf numFmtId="1" fontId="27" fillId="11" borderId="13" xfId="2" applyNumberFormat="1" applyFont="1" applyFill="1" applyBorder="1" applyAlignment="1">
      <alignment horizontal="center" vertical="center"/>
    </xf>
    <xf numFmtId="1" fontId="27" fillId="3" borderId="5" xfId="2" applyNumberFormat="1" applyFont="1" applyFill="1" applyBorder="1" applyAlignment="1">
      <alignment horizontal="center" vertical="center"/>
    </xf>
    <xf numFmtId="1" fontId="57" fillId="3" borderId="16" xfId="2" applyNumberFormat="1" applyFont="1" applyFill="1" applyBorder="1" applyAlignment="1">
      <alignment horizontal="center" vertical="center"/>
    </xf>
    <xf numFmtId="1" fontId="57" fillId="3" borderId="9" xfId="2" applyNumberFormat="1" applyFont="1" applyFill="1" applyBorder="1" applyAlignment="1">
      <alignment horizontal="center" vertical="center"/>
    </xf>
    <xf numFmtId="1" fontId="57" fillId="3" borderId="13" xfId="2" applyNumberFormat="1" applyFont="1" applyFill="1" applyBorder="1" applyAlignment="1">
      <alignment horizontal="center" vertical="center"/>
    </xf>
    <xf numFmtId="1" fontId="50" fillId="12" borderId="16" xfId="2" applyNumberFormat="1" applyFont="1" applyFill="1" applyBorder="1" applyAlignment="1">
      <alignment horizontal="center" vertical="center"/>
    </xf>
    <xf numFmtId="1" fontId="50" fillId="12" borderId="9" xfId="2" applyNumberFormat="1" applyFont="1" applyFill="1" applyBorder="1" applyAlignment="1">
      <alignment horizontal="center" vertical="center"/>
    </xf>
    <xf numFmtId="1" fontId="50" fillId="12" borderId="13" xfId="2" applyNumberFormat="1" applyFont="1" applyFill="1" applyBorder="1" applyAlignment="1">
      <alignment horizontal="center" vertical="center"/>
    </xf>
    <xf numFmtId="1" fontId="50" fillId="3" borderId="16" xfId="2" applyNumberFormat="1" applyFont="1" applyFill="1" applyBorder="1" applyAlignment="1">
      <alignment horizontal="center" vertical="center"/>
    </xf>
    <xf numFmtId="1" fontId="50" fillId="3" borderId="9" xfId="2" applyNumberFormat="1" applyFont="1" applyFill="1" applyBorder="1" applyAlignment="1">
      <alignment horizontal="center" vertical="center"/>
    </xf>
    <xf numFmtId="1" fontId="50" fillId="3" borderId="13" xfId="2" applyNumberFormat="1" applyFont="1" applyFill="1" applyBorder="1" applyAlignment="1">
      <alignment horizontal="center" vertical="center"/>
    </xf>
    <xf numFmtId="1" fontId="57" fillId="10" borderId="16" xfId="2" applyNumberFormat="1" applyFont="1" applyFill="1" applyBorder="1" applyAlignment="1">
      <alignment horizontal="center" vertical="center"/>
    </xf>
    <xf numFmtId="1" fontId="57" fillId="10" borderId="9" xfId="2" applyNumberFormat="1" applyFont="1" applyFill="1" applyBorder="1" applyAlignment="1">
      <alignment horizontal="center" vertical="center"/>
    </xf>
    <xf numFmtId="1" fontId="57" fillId="10" borderId="13" xfId="2" applyNumberFormat="1" applyFont="1" applyFill="1" applyBorder="1" applyAlignment="1">
      <alignment horizontal="center" vertical="center"/>
    </xf>
    <xf numFmtId="1" fontId="57" fillId="3" borderId="15" xfId="2" applyNumberFormat="1" applyFont="1" applyFill="1" applyBorder="1" applyAlignment="1">
      <alignment horizontal="center" vertical="center"/>
    </xf>
    <xf numFmtId="49" fontId="50" fillId="3" borderId="16" xfId="2" applyNumberFormat="1" applyFont="1" applyFill="1" applyBorder="1" applyAlignment="1">
      <alignment horizontal="center" vertical="center"/>
    </xf>
    <xf numFmtId="49" fontId="50" fillId="3" borderId="9" xfId="2" applyNumberFormat="1" applyFont="1" applyFill="1" applyBorder="1" applyAlignment="1">
      <alignment horizontal="center" vertical="center"/>
    </xf>
    <xf numFmtId="49" fontId="50" fillId="3" borderId="13" xfId="2" applyNumberFormat="1" applyFont="1" applyFill="1" applyBorder="1" applyAlignment="1">
      <alignment horizontal="center" vertical="center"/>
    </xf>
    <xf numFmtId="49" fontId="50" fillId="0" borderId="16" xfId="2" applyNumberFormat="1" applyFont="1" applyFill="1" applyBorder="1" applyAlignment="1">
      <alignment horizontal="center" vertical="center"/>
    </xf>
    <xf numFmtId="49" fontId="50" fillId="0" borderId="9" xfId="2" applyNumberFormat="1" applyFont="1" applyFill="1" applyBorder="1" applyAlignment="1">
      <alignment horizontal="center" vertical="center"/>
    </xf>
    <xf numFmtId="49" fontId="50" fillId="0" borderId="13" xfId="2" applyNumberFormat="1" applyFont="1" applyFill="1" applyBorder="1" applyAlignment="1">
      <alignment horizontal="center" vertical="center"/>
    </xf>
    <xf numFmtId="49" fontId="50" fillId="0" borderId="61" xfId="2" applyNumberFormat="1" applyFont="1" applyFill="1" applyBorder="1" applyAlignment="1">
      <alignment horizontal="center" vertical="center"/>
    </xf>
    <xf numFmtId="49" fontId="50" fillId="0" borderId="30" xfId="2" applyNumberFormat="1" applyFont="1" applyFill="1" applyBorder="1" applyAlignment="1">
      <alignment horizontal="center" vertical="center"/>
    </xf>
    <xf numFmtId="49" fontId="50" fillId="0" borderId="52" xfId="2" applyNumberFormat="1" applyFont="1" applyFill="1" applyBorder="1" applyAlignment="1">
      <alignment horizontal="center" vertical="center"/>
    </xf>
    <xf numFmtId="49" fontId="9" fillId="7" borderId="10" xfId="2" applyNumberFormat="1" applyFont="1" applyFill="1" applyBorder="1" applyAlignment="1">
      <alignment horizontal="center" vertical="center"/>
    </xf>
    <xf numFmtId="49" fontId="9" fillId="7" borderId="9" xfId="2" applyNumberFormat="1" applyFont="1" applyFill="1" applyBorder="1" applyAlignment="1">
      <alignment horizontal="center" vertical="center"/>
    </xf>
    <xf numFmtId="49" fontId="9" fillId="7" borderId="5" xfId="2" applyNumberFormat="1" applyFont="1" applyFill="1" applyBorder="1" applyAlignment="1">
      <alignment horizontal="center" vertical="center"/>
    </xf>
    <xf numFmtId="49" fontId="9" fillId="3" borderId="10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3" xfId="2" applyNumberFormat="1" applyFont="1" applyFill="1" applyBorder="1" applyAlignment="1">
      <alignment horizontal="center" vertical="center"/>
    </xf>
    <xf numFmtId="49" fontId="9" fillId="3" borderId="16" xfId="2" applyNumberFormat="1" applyFont="1" applyFill="1" applyBorder="1" applyAlignment="1">
      <alignment horizontal="center" vertical="center"/>
    </xf>
    <xf numFmtId="49" fontId="9" fillId="7" borderId="34" xfId="2" applyNumberFormat="1" applyFont="1" applyFill="1" applyBorder="1" applyAlignment="1">
      <alignment horizontal="center" vertical="center"/>
    </xf>
    <xf numFmtId="49" fontId="9" fillId="7" borderId="39" xfId="2" applyNumberFormat="1" applyFont="1" applyFill="1" applyBorder="1" applyAlignment="1">
      <alignment horizontal="center" vertical="center"/>
    </xf>
    <xf numFmtId="49" fontId="9" fillId="11" borderId="79" xfId="2" applyNumberFormat="1" applyFont="1" applyFill="1" applyBorder="1" applyAlignment="1">
      <alignment horizontal="center" vertical="center"/>
    </xf>
    <xf numFmtId="49" fontId="9" fillId="11" borderId="88" xfId="2" applyNumberFormat="1" applyFont="1" applyFill="1" applyBorder="1" applyAlignment="1">
      <alignment horizontal="center" vertical="center"/>
    </xf>
    <xf numFmtId="49" fontId="9" fillId="11" borderId="83" xfId="2" applyNumberFormat="1" applyFont="1" applyFill="1" applyBorder="1" applyAlignment="1">
      <alignment horizontal="center" vertical="center"/>
    </xf>
    <xf numFmtId="49" fontId="9" fillId="9" borderId="16" xfId="2" applyNumberFormat="1" applyFont="1" applyFill="1" applyBorder="1" applyAlignment="1">
      <alignment horizontal="center" vertical="center"/>
    </xf>
    <xf numFmtId="49" fontId="9" fillId="9" borderId="9" xfId="2" applyNumberFormat="1" applyFont="1" applyFill="1" applyBorder="1" applyAlignment="1">
      <alignment horizontal="center" vertical="center"/>
    </xf>
    <xf numFmtId="49" fontId="9" fillId="9" borderId="13" xfId="2" applyNumberFormat="1" applyFont="1" applyFill="1" applyBorder="1" applyAlignment="1">
      <alignment horizontal="center" vertical="center"/>
    </xf>
    <xf numFmtId="49" fontId="50" fillId="7" borderId="79" xfId="2" applyNumberFormat="1" applyFont="1" applyFill="1" applyBorder="1" applyAlignment="1">
      <alignment horizontal="center" vertical="center"/>
    </xf>
    <xf numFmtId="49" fontId="50" fillId="7" borderId="88" xfId="2" applyNumberFormat="1" applyFont="1" applyFill="1" applyBorder="1" applyAlignment="1">
      <alignment horizontal="center" vertical="center"/>
    </xf>
    <xf numFmtId="49" fontId="50" fillId="7" borderId="83" xfId="2" applyNumberFormat="1" applyFont="1" applyFill="1" applyBorder="1" applyAlignment="1">
      <alignment horizontal="center" vertical="center"/>
    </xf>
    <xf numFmtId="49" fontId="9" fillId="6" borderId="79" xfId="2" applyNumberFormat="1" applyFont="1" applyFill="1" applyBorder="1" applyAlignment="1">
      <alignment horizontal="center" vertical="center"/>
    </xf>
    <xf numFmtId="49" fontId="9" fillId="6" borderId="88" xfId="2" applyNumberFormat="1" applyFont="1" applyFill="1" applyBorder="1" applyAlignment="1">
      <alignment horizontal="center" vertical="center"/>
    </xf>
    <xf numFmtId="49" fontId="9" fillId="6" borderId="83" xfId="2" applyNumberFormat="1" applyFont="1" applyFill="1" applyBorder="1" applyAlignment="1">
      <alignment horizontal="center" vertical="center"/>
    </xf>
    <xf numFmtId="49" fontId="9" fillId="13" borderId="0" xfId="2" applyNumberFormat="1" applyFont="1" applyFill="1" applyAlignment="1">
      <alignment horizontal="center" vertical="center"/>
    </xf>
    <xf numFmtId="49" fontId="9" fillId="13" borderId="39" xfId="2" applyNumberFormat="1" applyFont="1" applyFill="1" applyBorder="1" applyAlignment="1">
      <alignment horizontal="center" vertical="center"/>
    </xf>
    <xf numFmtId="49" fontId="10" fillId="12" borderId="34" xfId="2" applyNumberFormat="1" applyFont="1" applyFill="1" applyBorder="1" applyAlignment="1">
      <alignment horizontal="center" vertical="center"/>
    </xf>
    <xf numFmtId="49" fontId="10" fillId="12" borderId="39" xfId="2" applyNumberFormat="1" applyFont="1" applyFill="1" applyBorder="1" applyAlignment="1">
      <alignment horizontal="center" vertical="center"/>
    </xf>
    <xf numFmtId="1" fontId="50" fillId="7" borderId="78" xfId="2" applyNumberFormat="1" applyFont="1" applyFill="1" applyBorder="1" applyAlignment="1">
      <alignment horizontal="center" vertical="center" wrapText="1"/>
    </xf>
    <xf numFmtId="1" fontId="50" fillId="7" borderId="30" xfId="2" applyNumberFormat="1" applyFont="1" applyFill="1" applyBorder="1" applyAlignment="1">
      <alignment horizontal="center" vertical="center" wrapText="1"/>
    </xf>
    <xf numFmtId="1" fontId="50" fillId="7" borderId="89" xfId="2" applyNumberFormat="1" applyFont="1" applyFill="1" applyBorder="1" applyAlignment="1">
      <alignment horizontal="center" vertical="center" wrapText="1"/>
    </xf>
    <xf numFmtId="4" fontId="48" fillId="6" borderId="79" xfId="2" applyNumberFormat="1" applyFont="1" applyFill="1" applyBorder="1" applyAlignment="1">
      <alignment horizontal="center" vertical="center"/>
    </xf>
    <xf numFmtId="4" fontId="48" fillId="6" borderId="88" xfId="2" applyNumberFormat="1" applyFont="1" applyFill="1" applyBorder="1" applyAlignment="1">
      <alignment horizontal="center" vertical="center"/>
    </xf>
    <xf numFmtId="4" fontId="48" fillId="6" borderId="83" xfId="2" applyNumberFormat="1" applyFont="1" applyFill="1" applyBorder="1" applyAlignment="1">
      <alignment horizontal="center" vertical="center"/>
    </xf>
    <xf numFmtId="3" fontId="50" fillId="6" borderId="68" xfId="2" applyNumberFormat="1" applyFont="1" applyFill="1" applyBorder="1" applyAlignment="1">
      <alignment horizontal="center" vertical="center"/>
    </xf>
    <xf numFmtId="3" fontId="50" fillId="6" borderId="69" xfId="2" applyNumberFormat="1" applyFont="1" applyFill="1" applyBorder="1" applyAlignment="1">
      <alignment horizontal="center" vertical="center"/>
    </xf>
    <xf numFmtId="1" fontId="10" fillId="7" borderId="34" xfId="2" applyNumberFormat="1" applyFont="1" applyFill="1" applyBorder="1" applyAlignment="1">
      <alignment horizontal="center" vertical="center"/>
    </xf>
    <xf numFmtId="1" fontId="10" fillId="7" borderId="39" xfId="2" applyNumberFormat="1" applyFont="1" applyFill="1" applyBorder="1" applyAlignment="1">
      <alignment horizontal="center" vertical="center"/>
    </xf>
    <xf numFmtId="1" fontId="10" fillId="7" borderId="36" xfId="2" applyNumberFormat="1" applyFont="1" applyFill="1" applyBorder="1" applyAlignment="1">
      <alignment horizontal="center" vertical="center"/>
    </xf>
    <xf numFmtId="49" fontId="50" fillId="3" borderId="15" xfId="2" applyNumberFormat="1" applyFont="1" applyFill="1" applyBorder="1" applyAlignment="1">
      <alignment horizontal="center" vertical="center"/>
    </xf>
    <xf numFmtId="49" fontId="50" fillId="12" borderId="92" xfId="2" applyNumberFormat="1" applyFont="1" applyFill="1" applyBorder="1" applyAlignment="1">
      <alignment horizontal="center" vertical="center"/>
    </xf>
    <xf numFmtId="49" fontId="50" fillId="12" borderId="39" xfId="2" applyNumberFormat="1" applyFont="1" applyFill="1" applyBorder="1" applyAlignment="1">
      <alignment horizontal="center" vertical="center"/>
    </xf>
    <xf numFmtId="1" fontId="50" fillId="3" borderId="78" xfId="2" applyNumberFormat="1" applyFont="1" applyFill="1" applyBorder="1" applyAlignment="1">
      <alignment horizontal="center" vertical="center"/>
    </xf>
    <xf numFmtId="1" fontId="50" fillId="3" borderId="30" xfId="2" applyNumberFormat="1" applyFont="1" applyFill="1" applyBorder="1" applyAlignment="1">
      <alignment horizontal="center" vertical="center"/>
    </xf>
    <xf numFmtId="1" fontId="50" fillId="3" borderId="52" xfId="2" applyNumberFormat="1" applyFont="1" applyFill="1" applyBorder="1" applyAlignment="1">
      <alignment horizontal="center" vertical="center"/>
    </xf>
    <xf numFmtId="1" fontId="17" fillId="3" borderId="59" xfId="2" applyNumberFormat="1" applyFont="1" applyFill="1" applyBorder="1" applyAlignment="1">
      <alignment horizontal="center" vertical="center"/>
    </xf>
    <xf numFmtId="1" fontId="17" fillId="3" borderId="6" xfId="2" applyNumberFormat="1" applyFont="1" applyFill="1" applyBorder="1" applyAlignment="1">
      <alignment horizontal="center" vertical="center"/>
    </xf>
    <xf numFmtId="1" fontId="17" fillId="3" borderId="35" xfId="2" applyNumberFormat="1" applyFont="1" applyFill="1" applyBorder="1" applyAlignment="1">
      <alignment horizontal="center" vertical="center"/>
    </xf>
    <xf numFmtId="1" fontId="17" fillId="3" borderId="32" xfId="2" applyNumberFormat="1" applyFont="1" applyFill="1" applyBorder="1" applyAlignment="1">
      <alignment horizontal="center" vertical="center"/>
    </xf>
    <xf numFmtId="1" fontId="50" fillId="10" borderId="79" xfId="2" applyNumberFormat="1" applyFont="1" applyFill="1" applyBorder="1" applyAlignment="1">
      <alignment horizontal="center" vertical="center"/>
    </xf>
    <xf numFmtId="1" fontId="50" fillId="10" borderId="88" xfId="2" applyNumberFormat="1" applyFont="1" applyFill="1" applyBorder="1" applyAlignment="1">
      <alignment horizontal="center" vertical="center"/>
    </xf>
    <xf numFmtId="1" fontId="50" fillId="10" borderId="83" xfId="2" applyNumberFormat="1" applyFont="1" applyFill="1" applyBorder="1" applyAlignment="1">
      <alignment horizontal="center" vertical="center"/>
    </xf>
    <xf numFmtId="49" fontId="17" fillId="3" borderId="16" xfId="0" applyNumberFormat="1" applyFont="1" applyFill="1" applyBorder="1" applyAlignment="1">
      <alignment horizontal="center" vertical="center"/>
    </xf>
    <xf numFmtId="49" fontId="17" fillId="3" borderId="9" xfId="0" applyNumberFormat="1" applyFont="1" applyFill="1" applyBorder="1" applyAlignment="1">
      <alignment horizontal="center" vertical="center"/>
    </xf>
    <xf numFmtId="49" fontId="17" fillId="3" borderId="13" xfId="0" applyNumberFormat="1" applyFont="1" applyFill="1" applyBorder="1" applyAlignment="1">
      <alignment horizontal="center" vertical="center"/>
    </xf>
    <xf numFmtId="49" fontId="17" fillId="3" borderId="59" xfId="2" applyNumberFormat="1" applyFont="1" applyFill="1" applyBorder="1" applyAlignment="1">
      <alignment horizontal="center" vertical="center"/>
    </xf>
    <xf numFmtId="49" fontId="17" fillId="3" borderId="6" xfId="2" applyNumberFormat="1" applyFont="1" applyFill="1" applyBorder="1" applyAlignment="1">
      <alignment horizontal="center" vertical="center"/>
    </xf>
    <xf numFmtId="49" fontId="17" fillId="3" borderId="35" xfId="2" applyNumberFormat="1" applyFont="1" applyFill="1" applyBorder="1" applyAlignment="1">
      <alignment horizontal="center" vertical="center"/>
    </xf>
    <xf numFmtId="49" fontId="9" fillId="6" borderId="17" xfId="2" applyNumberFormat="1" applyFont="1" applyFill="1" applyBorder="1" applyAlignment="1">
      <alignment horizontal="center" vertical="center" wrapText="1"/>
    </xf>
    <xf numFmtId="49" fontId="9" fillId="6" borderId="34" xfId="2" applyNumberFormat="1" applyFont="1" applyFill="1" applyBorder="1" applyAlignment="1">
      <alignment horizontal="center" vertical="center" wrapText="1"/>
    </xf>
    <xf numFmtId="49" fontId="9" fillId="6" borderId="1" xfId="2" applyNumberFormat="1" applyFont="1" applyFill="1" applyBorder="1" applyAlignment="1">
      <alignment horizontal="center" vertical="center" wrapText="1"/>
    </xf>
    <xf numFmtId="49" fontId="9" fillId="6" borderId="39" xfId="2" applyNumberFormat="1" applyFont="1" applyFill="1" applyBorder="1" applyAlignment="1">
      <alignment horizontal="center" vertical="center" wrapText="1"/>
    </xf>
    <xf numFmtId="49" fontId="9" fillId="6" borderId="4" xfId="2" applyNumberFormat="1" applyFont="1" applyFill="1" applyBorder="1" applyAlignment="1">
      <alignment horizontal="center" vertical="center" wrapText="1"/>
    </xf>
    <xf numFmtId="49" fontId="9" fillId="6" borderId="36" xfId="2" applyNumberFormat="1" applyFont="1" applyFill="1" applyBorder="1" applyAlignment="1">
      <alignment horizontal="center" vertical="center" wrapText="1"/>
    </xf>
    <xf numFmtId="1" fontId="57" fillId="3" borderId="16" xfId="2" applyNumberFormat="1" applyFont="1" applyFill="1" applyBorder="1" applyAlignment="1">
      <alignment horizontal="center" vertical="center" wrapText="1"/>
    </xf>
    <xf numFmtId="1" fontId="57" fillId="3" borderId="9" xfId="2" applyNumberFormat="1" applyFont="1" applyFill="1" applyBorder="1" applyAlignment="1">
      <alignment horizontal="center" vertical="center" wrapText="1"/>
    </xf>
    <xf numFmtId="1" fontId="57" fillId="3" borderId="5" xfId="2" applyNumberFormat="1" applyFont="1" applyFill="1" applyBorder="1" applyAlignment="1">
      <alignment horizontal="center" vertical="center" wrapText="1"/>
    </xf>
    <xf numFmtId="49" fontId="50" fillId="3" borderId="61" xfId="2" applyNumberFormat="1" applyFont="1" applyFill="1" applyBorder="1" applyAlignment="1">
      <alignment horizontal="center" vertical="center"/>
    </xf>
    <xf numFmtId="49" fontId="50" fillId="3" borderId="30" xfId="2" applyNumberFormat="1" applyFont="1" applyFill="1" applyBorder="1" applyAlignment="1">
      <alignment horizontal="center" vertical="center"/>
    </xf>
    <xf numFmtId="49" fontId="50" fillId="3" borderId="52" xfId="2" applyNumberFormat="1" applyFont="1" applyFill="1" applyBorder="1" applyAlignment="1">
      <alignment horizontal="center" vertical="center"/>
    </xf>
    <xf numFmtId="49" fontId="50" fillId="12" borderId="16" xfId="2" applyNumberFormat="1" applyFont="1" applyFill="1" applyBorder="1" applyAlignment="1">
      <alignment horizontal="center" vertical="center"/>
    </xf>
    <xf numFmtId="49" fontId="50" fillId="12" borderId="9" xfId="2" applyNumberFormat="1" applyFont="1" applyFill="1" applyBorder="1" applyAlignment="1">
      <alignment horizontal="center" vertical="center"/>
    </xf>
    <xf numFmtId="49" fontId="50" fillId="12" borderId="13" xfId="2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right" vertical="center" shrinkToFit="1"/>
    </xf>
    <xf numFmtId="0" fontId="32" fillId="0" borderId="0" xfId="0" applyFont="1" applyFill="1" applyAlignment="1">
      <alignment horizontal="right" vertical="center" shrinkToFit="1"/>
    </xf>
    <xf numFmtId="0" fontId="62" fillId="0" borderId="17" xfId="0" applyFont="1" applyFill="1" applyBorder="1" applyAlignment="1">
      <alignment horizontal="center" vertical="center" shrinkToFit="1"/>
    </xf>
    <xf numFmtId="0" fontId="62" fillId="0" borderId="22" xfId="0" applyFont="1" applyFill="1" applyBorder="1" applyAlignment="1">
      <alignment horizontal="center" vertical="center" shrinkToFit="1"/>
    </xf>
    <xf numFmtId="0" fontId="62" fillId="0" borderId="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 shrinkToFit="1"/>
    </xf>
    <xf numFmtId="41" fontId="5" fillId="0" borderId="15" xfId="0" applyNumberFormat="1" applyFont="1" applyFill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/>
    </xf>
    <xf numFmtId="3" fontId="48" fillId="3" borderId="15" xfId="2" quotePrefix="1" applyNumberFormat="1" applyFont="1" applyFill="1" applyBorder="1" applyAlignment="1">
      <alignment horizontal="center" vertical="center"/>
    </xf>
    <xf numFmtId="0" fontId="106" fillId="0" borderId="0" xfId="0" applyFont="1" applyAlignment="1">
      <alignment horizontal="right" vertical="top"/>
    </xf>
    <xf numFmtId="0" fontId="46" fillId="0" borderId="0" xfId="4" applyFont="1" applyBorder="1" applyAlignment="1">
      <alignment vertical="center" wrapText="1"/>
    </xf>
    <xf numFmtId="0" fontId="72" fillId="0" borderId="0" xfId="0" applyFont="1" applyBorder="1" applyAlignment="1">
      <alignment vertical="center" wrapText="1"/>
    </xf>
    <xf numFmtId="0" fontId="19" fillId="0" borderId="67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7" fillId="0" borderId="15" xfId="4" applyFont="1" applyBorder="1" applyAlignment="1">
      <alignment horizontal="right"/>
    </xf>
    <xf numFmtId="0" fontId="17" fillId="0" borderId="58" xfId="4" applyFont="1" applyBorder="1" applyAlignment="1">
      <alignment horizontal="center" vertical="center" wrapText="1"/>
    </xf>
    <xf numFmtId="0" fontId="17" fillId="0" borderId="62" xfId="4" applyFont="1" applyBorder="1" applyAlignment="1">
      <alignment horizontal="center" vertical="center" wrapText="1"/>
    </xf>
    <xf numFmtId="3" fontId="17" fillId="0" borderId="15" xfId="4" applyNumberFormat="1" applyFont="1" applyBorder="1" applyAlignment="1">
      <alignment horizontal="right"/>
    </xf>
    <xf numFmtId="0" fontId="46" fillId="0" borderId="0" xfId="4" applyFont="1" applyBorder="1" applyAlignment="1">
      <alignment vertical="center"/>
    </xf>
    <xf numFmtId="0" fontId="72" fillId="0" borderId="0" xfId="0" applyFont="1" applyBorder="1" applyAlignment="1"/>
    <xf numFmtId="0" fontId="17" fillId="0" borderId="16" xfId="4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3" fontId="48" fillId="3" borderId="14" xfId="2" quotePrefix="1" applyNumberFormat="1" applyFont="1" applyFill="1" applyBorder="1" applyAlignment="1">
      <alignment horizontal="center" vertical="center"/>
    </xf>
    <xf numFmtId="0" fontId="17" fillId="0" borderId="58" xfId="4" applyFont="1" applyBorder="1" applyAlignment="1">
      <alignment horizontal="left" vertical="center" wrapText="1"/>
    </xf>
    <xf numFmtId="0" fontId="17" fillId="0" borderId="62" xfId="4" applyFont="1" applyBorder="1" applyAlignment="1">
      <alignment horizontal="left" vertical="center" wrapText="1"/>
    </xf>
    <xf numFmtId="0" fontId="46" fillId="3" borderId="73" xfId="0" applyFont="1" applyFill="1" applyBorder="1" applyAlignment="1">
      <alignment horizontal="center" vertical="center"/>
    </xf>
    <xf numFmtId="0" fontId="46" fillId="3" borderId="62" xfId="0" applyFont="1" applyFill="1" applyBorder="1" applyAlignment="1">
      <alignment horizontal="center" vertical="center"/>
    </xf>
    <xf numFmtId="0" fontId="46" fillId="3" borderId="93" xfId="0" applyFont="1" applyFill="1" applyBorder="1" applyAlignment="1">
      <alignment horizontal="center" vertical="center"/>
    </xf>
    <xf numFmtId="0" fontId="46" fillId="3" borderId="80" xfId="0" applyFont="1" applyFill="1" applyBorder="1" applyAlignment="1">
      <alignment horizontal="center" vertical="center"/>
    </xf>
    <xf numFmtId="0" fontId="75" fillId="3" borderId="17" xfId="0" applyFont="1" applyFill="1" applyBorder="1" applyAlignment="1">
      <alignment horizontal="center" vertical="center" wrapText="1"/>
    </xf>
    <xf numFmtId="0" fontId="75" fillId="3" borderId="7" xfId="0" applyFont="1" applyFill="1" applyBorder="1" applyAlignment="1">
      <alignment horizontal="center" vertical="center" wrapText="1"/>
    </xf>
    <xf numFmtId="0" fontId="75" fillId="3" borderId="31" xfId="0" applyFont="1" applyFill="1" applyBorder="1" applyAlignment="1">
      <alignment horizontal="center" vertical="center" wrapText="1"/>
    </xf>
    <xf numFmtId="0" fontId="75" fillId="3" borderId="32" xfId="0" applyFont="1" applyFill="1" applyBorder="1" applyAlignment="1">
      <alignment horizontal="center" vertical="center" wrapText="1"/>
    </xf>
    <xf numFmtId="0" fontId="75" fillId="3" borderId="12" xfId="0" applyFont="1" applyFill="1" applyBorder="1" applyAlignment="1">
      <alignment horizontal="center" vertical="center"/>
    </xf>
    <xf numFmtId="0" fontId="46" fillId="3" borderId="55" xfId="0" applyFont="1" applyFill="1" applyBorder="1" applyAlignment="1">
      <alignment horizontal="center" vertical="center"/>
    </xf>
    <xf numFmtId="0" fontId="46" fillId="3" borderId="53" xfId="0" applyFont="1" applyFill="1" applyBorder="1" applyAlignment="1">
      <alignment horizontal="center" vertical="center"/>
    </xf>
    <xf numFmtId="1" fontId="75" fillId="3" borderId="40" xfId="0" quotePrefix="1" applyNumberFormat="1" applyFont="1" applyFill="1" applyBorder="1" applyAlignment="1">
      <alignment horizontal="center" vertical="center"/>
    </xf>
    <xf numFmtId="1" fontId="75" fillId="3" borderId="49" xfId="0" quotePrefix="1" applyNumberFormat="1" applyFont="1" applyFill="1" applyBorder="1" applyAlignment="1">
      <alignment horizontal="center" vertical="center"/>
    </xf>
    <xf numFmtId="0" fontId="75" fillId="3" borderId="16" xfId="0" applyFont="1" applyFill="1" applyBorder="1" applyAlignment="1">
      <alignment horizontal="center" wrapText="1"/>
    </xf>
    <xf numFmtId="0" fontId="75" fillId="3" borderId="13" xfId="0" applyFont="1" applyFill="1" applyBorder="1" applyAlignment="1">
      <alignment horizontal="center" wrapText="1"/>
    </xf>
    <xf numFmtId="0" fontId="46" fillId="3" borderId="17" xfId="0" applyFont="1" applyFill="1" applyBorder="1" applyAlignment="1">
      <alignment horizontal="center" vertical="center"/>
    </xf>
    <xf numFmtId="0" fontId="46" fillId="3" borderId="7" xfId="0" applyFont="1" applyFill="1" applyBorder="1" applyAlignment="1">
      <alignment horizontal="center" vertical="center"/>
    </xf>
    <xf numFmtId="0" fontId="46" fillId="3" borderId="31" xfId="0" applyFont="1" applyFill="1" applyBorder="1" applyAlignment="1">
      <alignment horizontal="center" vertical="center"/>
    </xf>
    <xf numFmtId="0" fontId="46" fillId="3" borderId="32" xfId="0" applyFont="1" applyFill="1" applyBorder="1" applyAlignment="1">
      <alignment horizontal="center" vertical="center"/>
    </xf>
    <xf numFmtId="0" fontId="75" fillId="3" borderId="75" xfId="0" applyFont="1" applyFill="1" applyBorder="1" applyAlignment="1">
      <alignment horizontal="center"/>
    </xf>
    <xf numFmtId="0" fontId="75" fillId="3" borderId="76" xfId="0" applyFont="1" applyFill="1" applyBorder="1" applyAlignment="1">
      <alignment horizontal="center"/>
    </xf>
    <xf numFmtId="0" fontId="75" fillId="3" borderId="77" xfId="0" applyFont="1" applyFill="1" applyBorder="1" applyAlignment="1">
      <alignment horizontal="center"/>
    </xf>
    <xf numFmtId="0" fontId="58" fillId="3" borderId="34" xfId="0" applyFont="1" applyFill="1" applyBorder="1" applyAlignment="1">
      <alignment horizontal="center" vertical="center"/>
    </xf>
    <xf numFmtId="0" fontId="20" fillId="3" borderId="48" xfId="0" applyFont="1" applyFill="1" applyBorder="1" applyAlignment="1">
      <alignment horizontal="center" vertical="center"/>
    </xf>
    <xf numFmtId="0" fontId="46" fillId="3" borderId="35" xfId="0" applyFont="1" applyFill="1" applyBorder="1" applyAlignment="1">
      <alignment horizontal="center" vertical="center"/>
    </xf>
    <xf numFmtId="0" fontId="81" fillId="3" borderId="68" xfId="6" applyFont="1" applyFill="1" applyBorder="1" applyAlignment="1">
      <alignment horizontal="center" vertical="center"/>
    </xf>
    <xf numFmtId="0" fontId="81" fillId="3" borderId="45" xfId="6" applyFont="1" applyFill="1" applyBorder="1" applyAlignment="1">
      <alignment horizontal="center" vertical="center"/>
    </xf>
    <xf numFmtId="0" fontId="116" fillId="5" borderId="15" xfId="0" applyFont="1" applyFill="1" applyBorder="1" applyAlignment="1">
      <alignment horizontal="center" vertical="center"/>
    </xf>
    <xf numFmtId="0" fontId="24" fillId="3" borderId="61" xfId="0" applyFont="1" applyFill="1" applyBorder="1" applyAlignment="1">
      <alignment horizontal="center" vertical="center" wrapText="1"/>
    </xf>
    <xf numFmtId="0" fontId="24" fillId="3" borderId="59" xfId="0" applyFont="1" applyFill="1" applyBorder="1" applyAlignment="1">
      <alignment horizontal="center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32" xfId="0" applyFont="1" applyFill="1" applyBorder="1" applyAlignment="1">
      <alignment horizontal="center" vertical="center" wrapText="1"/>
    </xf>
    <xf numFmtId="3" fontId="17" fillId="3" borderId="16" xfId="0" applyNumberFormat="1" applyFont="1" applyFill="1" applyBorder="1" applyAlignment="1">
      <alignment horizontal="center" vertical="center" wrapText="1"/>
    </xf>
    <xf numFmtId="3" fontId="17" fillId="3" borderId="9" xfId="0" applyNumberFormat="1" applyFont="1" applyFill="1" applyBorder="1" applyAlignment="1">
      <alignment horizontal="center" vertical="center" wrapText="1"/>
    </xf>
    <xf numFmtId="3" fontId="17" fillId="3" borderId="13" xfId="0" applyNumberFormat="1" applyFont="1" applyFill="1" applyBorder="1" applyAlignment="1">
      <alignment horizontal="center" vertical="center" wrapText="1"/>
    </xf>
    <xf numFmtId="3" fontId="19" fillId="3" borderId="15" xfId="0" applyNumberFormat="1" applyFont="1" applyFill="1" applyBorder="1" applyAlignment="1">
      <alignment horizontal="center" vertical="center"/>
    </xf>
    <xf numFmtId="0" fontId="17" fillId="3" borderId="0" xfId="7" applyFont="1" applyFill="1" applyAlignment="1">
      <alignment horizontal="center" vertical="top" wrapText="1"/>
    </xf>
    <xf numFmtId="0" fontId="113" fillId="3" borderId="15" xfId="7" applyFont="1" applyFill="1" applyBorder="1" applyAlignment="1">
      <alignment horizontal="left" vertical="center" wrapText="1"/>
    </xf>
    <xf numFmtId="0" fontId="80" fillId="3" borderId="0" xfId="7" applyFont="1" applyFill="1" applyAlignment="1">
      <alignment horizontal="center" vertical="top" wrapText="1"/>
    </xf>
    <xf numFmtId="0" fontId="114" fillId="3" borderId="15" xfId="7" applyFont="1" applyFill="1" applyBorder="1" applyAlignment="1">
      <alignment horizontal="left" vertical="center" wrapText="1"/>
    </xf>
    <xf numFmtId="3" fontId="23" fillId="3" borderId="16" xfId="0" applyNumberFormat="1" applyFont="1" applyFill="1" applyBorder="1" applyAlignment="1">
      <alignment horizontal="center" vertical="center" wrapText="1"/>
    </xf>
    <xf numFmtId="3" fontId="23" fillId="3" borderId="9" xfId="0" applyNumberFormat="1" applyFont="1" applyFill="1" applyBorder="1" applyAlignment="1">
      <alignment horizontal="center" vertical="center" wrapText="1"/>
    </xf>
    <xf numFmtId="3" fontId="23" fillId="3" borderId="13" xfId="0" applyNumberFormat="1" applyFont="1" applyFill="1" applyBorder="1" applyAlignment="1">
      <alignment horizontal="center" vertical="center" wrapText="1"/>
    </xf>
    <xf numFmtId="3" fontId="97" fillId="3" borderId="15" xfId="0" applyNumberFormat="1" applyFont="1" applyFill="1" applyBorder="1" applyAlignment="1">
      <alignment horizontal="center" vertical="center"/>
    </xf>
    <xf numFmtId="0" fontId="23" fillId="0" borderId="17" xfId="0" applyFont="1" applyBorder="1" applyAlignment="1">
      <alignment horizontal="left"/>
    </xf>
    <xf numFmtId="0" fontId="23" fillId="0" borderId="22" xfId="0" applyFont="1" applyBorder="1" applyAlignment="1">
      <alignment horizontal="left"/>
    </xf>
    <xf numFmtId="0" fontId="112" fillId="17" borderId="82" xfId="0" applyFont="1" applyFill="1" applyBorder="1" applyAlignment="1">
      <alignment horizontal="center" vertical="top" wrapText="1"/>
    </xf>
    <xf numFmtId="0" fontId="23" fillId="0" borderId="82" xfId="0" applyFont="1" applyBorder="1"/>
    <xf numFmtId="0" fontId="24" fillId="0" borderId="17" xfId="0" applyFont="1" applyBorder="1" applyAlignment="1">
      <alignment horizontal="left"/>
    </xf>
    <xf numFmtId="0" fontId="24" fillId="0" borderId="22" xfId="0" applyFont="1" applyBorder="1" applyAlignment="1">
      <alignment horizontal="left"/>
    </xf>
    <xf numFmtId="49" fontId="86" fillId="0" borderId="58" xfId="9" applyNumberFormat="1" applyFont="1" applyFill="1" applyBorder="1" applyAlignment="1">
      <alignment horizontal="center" vertical="center"/>
    </xf>
    <xf numFmtId="49" fontId="86" fillId="0" borderId="74" xfId="9" applyNumberFormat="1" applyFont="1" applyFill="1" applyBorder="1" applyAlignment="1">
      <alignment horizontal="center" vertical="center"/>
    </xf>
    <xf numFmtId="49" fontId="86" fillId="0" borderId="62" xfId="9" applyNumberFormat="1" applyFont="1" applyFill="1" applyBorder="1" applyAlignment="1">
      <alignment horizontal="center" vertical="center"/>
    </xf>
    <xf numFmtId="0" fontId="25" fillId="0" borderId="58" xfId="9" applyFont="1" applyFill="1" applyBorder="1" applyAlignment="1">
      <alignment horizontal="left" vertical="center" wrapText="1"/>
    </xf>
    <xf numFmtId="0" fontId="25" fillId="0" borderId="74" xfId="9" applyFont="1" applyFill="1" applyBorder="1" applyAlignment="1">
      <alignment horizontal="left" vertical="center" wrapText="1"/>
    </xf>
    <xf numFmtId="0" fontId="25" fillId="0" borderId="62" xfId="9" applyFont="1" applyFill="1" applyBorder="1" applyAlignment="1">
      <alignment horizontal="left" vertical="center" wrapText="1"/>
    </xf>
    <xf numFmtId="3" fontId="25" fillId="0" borderId="58" xfId="9" applyNumberFormat="1" applyFont="1" applyFill="1" applyBorder="1" applyAlignment="1">
      <alignment horizontal="right" vertical="center"/>
    </xf>
    <xf numFmtId="3" fontId="25" fillId="0" borderId="74" xfId="9" applyNumberFormat="1" applyFont="1" applyFill="1" applyBorder="1" applyAlignment="1">
      <alignment horizontal="right" vertical="center"/>
    </xf>
    <xf numFmtId="3" fontId="25" fillId="0" borderId="62" xfId="9" applyNumberFormat="1" applyFont="1" applyFill="1" applyBorder="1" applyAlignment="1">
      <alignment horizontal="right" vertical="center"/>
    </xf>
    <xf numFmtId="49" fontId="81" fillId="0" borderId="58" xfId="9" applyNumberFormat="1" applyFont="1" applyFill="1" applyBorder="1" applyAlignment="1">
      <alignment horizontal="center" vertical="center"/>
    </xf>
    <xf numFmtId="49" fontId="81" fillId="0" borderId="74" xfId="9" applyNumberFormat="1" applyFont="1" applyFill="1" applyBorder="1" applyAlignment="1">
      <alignment horizontal="center" vertical="center"/>
    </xf>
    <xf numFmtId="49" fontId="81" fillId="0" borderId="62" xfId="9" applyNumberFormat="1" applyFont="1" applyFill="1" applyBorder="1" applyAlignment="1">
      <alignment horizontal="center" vertical="center"/>
    </xf>
    <xf numFmtId="49" fontId="80" fillId="0" borderId="58" xfId="9" applyNumberFormat="1" applyFont="1" applyFill="1" applyBorder="1" applyAlignment="1">
      <alignment horizontal="center" vertical="center"/>
    </xf>
    <xf numFmtId="49" fontId="80" fillId="0" borderId="74" xfId="9" applyNumberFormat="1" applyFont="1" applyFill="1" applyBorder="1" applyAlignment="1">
      <alignment horizontal="center" vertical="center"/>
    </xf>
    <xf numFmtId="49" fontId="80" fillId="0" borderId="62" xfId="9" applyNumberFormat="1" applyFont="1" applyFill="1" applyBorder="1" applyAlignment="1">
      <alignment horizontal="center" vertical="center"/>
    </xf>
    <xf numFmtId="0" fontId="26" fillId="0" borderId="58" xfId="9" applyFont="1" applyFill="1" applyBorder="1" applyAlignment="1">
      <alignment horizontal="left" vertical="center" wrapText="1"/>
    </xf>
    <xf numFmtId="0" fontId="26" fillId="0" borderId="74" xfId="9" applyFont="1" applyFill="1" applyBorder="1" applyAlignment="1">
      <alignment horizontal="left" vertical="center" wrapText="1"/>
    </xf>
    <xf numFmtId="0" fontId="26" fillId="0" borderId="62" xfId="9" applyFont="1" applyFill="1" applyBorder="1" applyAlignment="1">
      <alignment horizontal="left" vertical="center" wrapText="1"/>
    </xf>
    <xf numFmtId="0" fontId="26" fillId="0" borderId="58" xfId="9" quotePrefix="1" applyFont="1" applyFill="1" applyBorder="1" applyAlignment="1">
      <alignment horizontal="left" vertical="center" wrapText="1"/>
    </xf>
    <xf numFmtId="0" fontId="26" fillId="0" borderId="74" xfId="9" quotePrefix="1" applyFont="1" applyFill="1" applyBorder="1" applyAlignment="1">
      <alignment horizontal="left" vertical="center" wrapText="1"/>
    </xf>
    <xf numFmtId="0" fontId="26" fillId="0" borderId="62" xfId="9" quotePrefix="1" applyFont="1" applyFill="1" applyBorder="1" applyAlignment="1">
      <alignment horizontal="left" vertical="center" wrapText="1"/>
    </xf>
    <xf numFmtId="164" fontId="85" fillId="0" borderId="0" xfId="9" applyNumberFormat="1" applyFont="1" applyFill="1" applyBorder="1" applyAlignment="1">
      <alignment horizontal="center" vertical="center" wrapText="1"/>
    </xf>
    <xf numFmtId="0" fontId="80" fillId="0" borderId="33" xfId="9" applyFont="1" applyFill="1" applyBorder="1" applyAlignment="1">
      <alignment horizontal="right"/>
    </xf>
    <xf numFmtId="0" fontId="85" fillId="0" borderId="61" xfId="9" applyFont="1" applyFill="1" applyBorder="1" applyAlignment="1">
      <alignment horizontal="center" vertical="center" wrapText="1"/>
    </xf>
    <xf numFmtId="0" fontId="85" fillId="0" borderId="72" xfId="9" applyFont="1" applyFill="1" applyBorder="1" applyAlignment="1">
      <alignment horizontal="center" vertical="center" wrapText="1"/>
    </xf>
    <xf numFmtId="0" fontId="85" fillId="0" borderId="59" xfId="9" applyFont="1" applyFill="1" applyBorder="1" applyAlignment="1">
      <alignment horizontal="center" vertical="center" wrapText="1"/>
    </xf>
    <xf numFmtId="0" fontId="85" fillId="0" borderId="52" xfId="9" applyFont="1" applyFill="1" applyBorder="1" applyAlignment="1">
      <alignment horizontal="center" vertical="center" wrapText="1"/>
    </xf>
    <xf numFmtId="0" fontId="85" fillId="0" borderId="33" xfId="9" applyFont="1" applyFill="1" applyBorder="1" applyAlignment="1">
      <alignment horizontal="center" vertical="center" wrapText="1"/>
    </xf>
    <xf numFmtId="0" fontId="85" fillId="0" borderId="32" xfId="9" applyFont="1" applyFill="1" applyBorder="1" applyAlignment="1">
      <alignment horizontal="center" vertical="center" wrapText="1"/>
    </xf>
    <xf numFmtId="0" fontId="25" fillId="5" borderId="61" xfId="9" applyFont="1" applyFill="1" applyBorder="1" applyAlignment="1">
      <alignment horizontal="center" vertical="center" wrapText="1"/>
    </xf>
    <xf numFmtId="0" fontId="25" fillId="5" borderId="72" xfId="9" applyFont="1" applyFill="1" applyBorder="1" applyAlignment="1">
      <alignment horizontal="center" vertical="center" wrapText="1"/>
    </xf>
    <xf numFmtId="0" fontId="25" fillId="5" borderId="59" xfId="9" applyFont="1" applyFill="1" applyBorder="1" applyAlignment="1">
      <alignment horizontal="center" vertical="center" wrapText="1"/>
    </xf>
    <xf numFmtId="0" fontId="25" fillId="5" borderId="52" xfId="9" applyFont="1" applyFill="1" applyBorder="1" applyAlignment="1">
      <alignment horizontal="center" vertical="center" wrapText="1"/>
    </xf>
    <xf numFmtId="0" fontId="25" fillId="5" borderId="33" xfId="9" applyFont="1" applyFill="1" applyBorder="1" applyAlignment="1">
      <alignment horizontal="center" vertical="center" wrapText="1"/>
    </xf>
    <xf numFmtId="0" fontId="25" fillId="5" borderId="32" xfId="9" applyFont="1" applyFill="1" applyBorder="1" applyAlignment="1">
      <alignment horizontal="center" vertical="center" wrapText="1"/>
    </xf>
    <xf numFmtId="3" fontId="24" fillId="5" borderId="16" xfId="0" applyNumberFormat="1" applyFont="1" applyFill="1" applyBorder="1" applyAlignment="1">
      <alignment horizontal="center" vertical="center" wrapText="1"/>
    </xf>
    <xf numFmtId="3" fontId="24" fillId="5" borderId="13" xfId="0" applyNumberFormat="1" applyFont="1" applyFill="1" applyBorder="1" applyAlignment="1">
      <alignment horizontal="center" vertical="center" wrapText="1"/>
    </xf>
    <xf numFmtId="3" fontId="25" fillId="5" borderId="61" xfId="9" applyNumberFormat="1" applyFont="1" applyFill="1" applyBorder="1" applyAlignment="1">
      <alignment horizontal="center" vertical="center" wrapText="1"/>
    </xf>
    <xf numFmtId="3" fontId="25" fillId="5" borderId="72" xfId="9" applyNumberFormat="1" applyFont="1" applyFill="1" applyBorder="1" applyAlignment="1">
      <alignment horizontal="center" vertical="center" wrapText="1"/>
    </xf>
    <xf numFmtId="3" fontId="25" fillId="5" borderId="59" xfId="9" applyNumberFormat="1" applyFont="1" applyFill="1" applyBorder="1" applyAlignment="1">
      <alignment horizontal="center" vertical="center" wrapText="1"/>
    </xf>
    <xf numFmtId="3" fontId="25" fillId="5" borderId="52" xfId="9" applyNumberFormat="1" applyFont="1" applyFill="1" applyBorder="1" applyAlignment="1">
      <alignment horizontal="center" vertical="center" wrapText="1"/>
    </xf>
    <xf numFmtId="3" fontId="25" fillId="5" borderId="33" xfId="9" applyNumberFormat="1" applyFont="1" applyFill="1" applyBorder="1" applyAlignment="1">
      <alignment horizontal="center" vertical="center" wrapText="1"/>
    </xf>
    <xf numFmtId="3" fontId="25" fillId="5" borderId="32" xfId="9" applyNumberFormat="1" applyFont="1" applyFill="1" applyBorder="1" applyAlignment="1">
      <alignment horizontal="center" vertical="center" wrapText="1"/>
    </xf>
    <xf numFmtId="0" fontId="26" fillId="0" borderId="58" xfId="9" applyFont="1" applyFill="1" applyBorder="1" applyAlignment="1">
      <alignment horizontal="left" vertical="center"/>
    </xf>
    <xf numFmtId="0" fontId="26" fillId="0" borderId="74" xfId="9" applyFont="1" applyFill="1" applyBorder="1" applyAlignment="1">
      <alignment horizontal="left" vertical="center"/>
    </xf>
    <xf numFmtId="0" fontId="26" fillId="0" borderId="62" xfId="9" applyFont="1" applyFill="1" applyBorder="1" applyAlignment="1">
      <alignment horizontal="left" vertical="center"/>
    </xf>
    <xf numFmtId="0" fontId="25" fillId="0" borderId="58" xfId="9" applyFont="1" applyFill="1" applyBorder="1" applyAlignment="1">
      <alignment horizontal="left" vertical="center"/>
    </xf>
    <xf numFmtId="0" fontId="25" fillId="0" borderId="74" xfId="9" applyFont="1" applyFill="1" applyBorder="1" applyAlignment="1">
      <alignment horizontal="left" vertical="center"/>
    </xf>
    <xf numFmtId="0" fontId="25" fillId="0" borderId="62" xfId="9" applyFont="1" applyFill="1" applyBorder="1" applyAlignment="1">
      <alignment horizontal="left" vertical="center"/>
    </xf>
    <xf numFmtId="2" fontId="93" fillId="0" borderId="0" xfId="10" applyNumberFormat="1" applyFont="1" applyAlignment="1">
      <alignment horizontal="justify" vertical="top" wrapText="1"/>
    </xf>
    <xf numFmtId="2" fontId="17" fillId="0" borderId="0" xfId="10" applyNumberFormat="1" applyFont="1" applyAlignment="1">
      <alignment horizontal="justify" vertical="top" wrapText="1"/>
    </xf>
    <xf numFmtId="0" fontId="87" fillId="0" borderId="63" xfId="10" applyFont="1" applyBorder="1" applyAlignment="1">
      <alignment horizontal="center" vertical="center"/>
    </xf>
    <xf numFmtId="0" fontId="87" fillId="0" borderId="59" xfId="10" applyFont="1" applyBorder="1" applyAlignment="1">
      <alignment horizontal="center" vertical="center"/>
    </xf>
    <xf numFmtId="0" fontId="88" fillId="0" borderId="31" xfId="10" applyFont="1" applyBorder="1" applyAlignment="1">
      <alignment vertical="center"/>
    </xf>
    <xf numFmtId="0" fontId="88" fillId="0" borderId="32" xfId="10" applyFont="1" applyBorder="1" applyAlignment="1">
      <alignment vertical="center"/>
    </xf>
    <xf numFmtId="0" fontId="24" fillId="0" borderId="58" xfId="10" applyFont="1" applyBorder="1" applyAlignment="1">
      <alignment horizontal="center" vertical="center" wrapText="1"/>
    </xf>
    <xf numFmtId="0" fontId="23" fillId="0" borderId="81" xfId="11" applyFont="1" applyBorder="1" applyAlignment="1">
      <alignment horizontal="center" vertical="center" wrapText="1"/>
    </xf>
    <xf numFmtId="0" fontId="90" fillId="0" borderId="57" xfId="10" applyFont="1" applyBorder="1" applyAlignment="1">
      <alignment horizontal="center"/>
    </xf>
    <xf numFmtId="0" fontId="90" fillId="0" borderId="14" xfId="10" applyFont="1" applyBorder="1" applyAlignment="1"/>
    <xf numFmtId="2" fontId="93" fillId="0" borderId="0" xfId="10" applyNumberFormat="1" applyFont="1" applyAlignment="1">
      <alignment horizontal="justify" wrapText="1"/>
    </xf>
    <xf numFmtId="2" fontId="17" fillId="0" borderId="0" xfId="11" applyNumberFormat="1" applyFont="1" applyAlignment="1">
      <alignment horizontal="justify" wrapText="1"/>
    </xf>
    <xf numFmtId="2" fontId="93" fillId="0" borderId="0" xfId="10" applyNumberFormat="1" applyFont="1" applyAlignment="1">
      <alignment horizontal="left" vertical="top" wrapText="1"/>
    </xf>
    <xf numFmtId="0" fontId="87" fillId="3" borderId="16" xfId="4" applyFont="1" applyFill="1" applyBorder="1" applyAlignment="1">
      <alignment horizontal="center" vertical="center"/>
    </xf>
    <xf numFmtId="0" fontId="87" fillId="3" borderId="13" xfId="4" applyFont="1" applyFill="1" applyBorder="1" applyAlignment="1">
      <alignment horizontal="center" vertical="center"/>
    </xf>
    <xf numFmtId="0" fontId="87" fillId="3" borderId="16" xfId="4" applyFont="1" applyFill="1" applyBorder="1" applyAlignment="1">
      <alignment horizontal="center" vertical="center" wrapText="1"/>
    </xf>
    <xf numFmtId="0" fontId="87" fillId="3" borderId="13" xfId="4" applyFont="1" applyFill="1" applyBorder="1" applyAlignment="1">
      <alignment horizontal="center" vertical="center" wrapText="1"/>
    </xf>
    <xf numFmtId="0" fontId="87" fillId="3" borderId="58" xfId="4" applyFont="1" applyFill="1" applyBorder="1" applyAlignment="1">
      <alignment horizontal="center"/>
    </xf>
    <xf numFmtId="0" fontId="87" fillId="3" borderId="74" xfId="4" applyFont="1" applyFill="1" applyBorder="1" applyAlignment="1">
      <alignment horizontal="center"/>
    </xf>
    <xf numFmtId="0" fontId="87" fillId="3" borderId="62" xfId="4" applyFont="1" applyFill="1" applyBorder="1" applyAlignment="1">
      <alignment horizontal="center"/>
    </xf>
    <xf numFmtId="0" fontId="96" fillId="3" borderId="0" xfId="12" applyFont="1" applyFill="1" applyAlignment="1">
      <alignment horizontal="center" vertical="top" wrapText="1"/>
    </xf>
    <xf numFmtId="0" fontId="76" fillId="3" borderId="0" xfId="12" applyFill="1"/>
    <xf numFmtId="0" fontId="97" fillId="17" borderId="15" xfId="0" applyFont="1" applyFill="1" applyBorder="1" applyAlignment="1">
      <alignment horizontal="center" vertical="top" wrapText="1"/>
    </xf>
    <xf numFmtId="0" fontId="97" fillId="0" borderId="15" xfId="0" applyFont="1" applyBorder="1"/>
    <xf numFmtId="0" fontId="96" fillId="17" borderId="15" xfId="0" applyFont="1" applyFill="1" applyBorder="1" applyAlignment="1">
      <alignment horizontal="center" vertical="top" wrapText="1"/>
    </xf>
    <xf numFmtId="0" fontId="0" fillId="0" borderId="15" xfId="0" applyBorder="1"/>
  </cellXfs>
  <cellStyles count="13">
    <cellStyle name="Normál" xfId="0" builtinId="0"/>
    <cellStyle name="Normál 2" xfId="8" xr:uid="{00000000-0005-0000-0000-000001000000}"/>
    <cellStyle name="Normál 3" xfId="12" xr:uid="{00000000-0005-0000-0000-000002000000}"/>
    <cellStyle name="Normál 4" xfId="9" xr:uid="{00000000-0005-0000-0000-000003000000}"/>
    <cellStyle name="Normál_2009.évi 2" xfId="4" xr:uid="{00000000-0005-0000-0000-000004000000}"/>
    <cellStyle name="Normal_KARSZJ3" xfId="1" xr:uid="{00000000-0005-0000-0000-000005000000}"/>
    <cellStyle name="Normál_kimutatások" xfId="11" xr:uid="{00000000-0005-0000-0000-000006000000}"/>
    <cellStyle name="Normál_közvetett tám" xfId="10" xr:uid="{00000000-0005-0000-0000-000007000000}"/>
    <cellStyle name="Normál_ktgvetés zárszám mellékletei 2" xfId="6" xr:uid="{00000000-0005-0000-0000-000008000000}"/>
    <cellStyle name="Normál_Mellékletek rendeleti" xfId="7" xr:uid="{00000000-0005-0000-0000-000009000000}"/>
    <cellStyle name="Normál_Munka1 2" xfId="5" xr:uid="{00000000-0005-0000-0000-00000A000000}"/>
    <cellStyle name="Normál_végső rend. képv.mód-sal" xfId="2" xr:uid="{00000000-0005-0000-0000-00000B000000}"/>
    <cellStyle name="Normál_végső rend. képv.mód-sal 2" xfId="3" xr:uid="{00000000-0005-0000-0000-00000C000000}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0</xdr:row>
      <xdr:rowOff>85725</xdr:rowOff>
    </xdr:from>
    <xdr:to>
      <xdr:col>6</xdr:col>
      <xdr:colOff>504825</xdr:colOff>
      <xdr:row>1</xdr:row>
      <xdr:rowOff>390525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219201" y="85725"/>
          <a:ext cx="2943224" cy="46672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18288" tIns="18288" rIns="18288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hu-HU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/>
              <a:ea typeface="Tahoma"/>
              <a:cs typeface="Tahoma"/>
            </a:rPr>
            <a:t>1. melléklet a /2018. (.  ) önk. rendelethez</a:t>
          </a:r>
        </a:p>
        <a:p>
          <a:pPr algn="ctr" rtl="0">
            <a:defRPr sz="1000"/>
          </a:pPr>
          <a:r>
            <a:rPr lang="hu-HU" sz="7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Pénzkészlet 2017. évi változása</a:t>
          </a:r>
        </a:p>
        <a:p>
          <a:pPr algn="ctr" rtl="0">
            <a:defRPr sz="1000"/>
          </a:pPr>
          <a:endParaRPr lang="hu-HU" sz="7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</xdr:col>
      <xdr:colOff>1</xdr:colOff>
      <xdr:row>0</xdr:row>
      <xdr:rowOff>85725</xdr:rowOff>
    </xdr:from>
    <xdr:to>
      <xdr:col>6</xdr:col>
      <xdr:colOff>504825</xdr:colOff>
      <xdr:row>2</xdr:row>
      <xdr:rowOff>85725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438401" y="85725"/>
          <a:ext cx="3981449" cy="38100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18288" tIns="18288" rIns="18288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hu-HU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/>
              <a:ea typeface="Tahoma"/>
              <a:cs typeface="Tahoma"/>
            </a:rPr>
            <a:t>1. melléklet a /2018. (.  ) önk. rendelethez</a:t>
          </a:r>
        </a:p>
        <a:p>
          <a:pPr algn="ctr" rtl="0">
            <a:defRPr sz="1000"/>
          </a:pPr>
          <a:r>
            <a:rPr lang="hu-HU" sz="7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Pénzkészlet 2017. évi változása</a:t>
          </a:r>
        </a:p>
        <a:p>
          <a:pPr algn="ctr" rtl="0">
            <a:defRPr sz="1000"/>
          </a:pPr>
          <a:endParaRPr lang="hu-HU" sz="7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542925</xdr:colOff>
      <xdr:row>6</xdr:row>
      <xdr:rowOff>76200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609600" y="161925"/>
          <a:ext cx="3590925" cy="88582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00000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10. melléklet a  /2018. (  .) önk. rendelethez</a:t>
          </a:r>
        </a:p>
        <a:p>
          <a:pPr algn="ctr" rtl="0">
            <a:defRPr sz="1000"/>
          </a:pPr>
          <a:r>
            <a:rPr lang="hu-HU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CSENGŐD KÖZSÉG ÖNKORMÁNYZATA</a:t>
          </a:r>
        </a:p>
        <a:p>
          <a:pPr algn="ctr" rtl="0">
            <a:defRPr sz="1000"/>
          </a:pPr>
          <a:r>
            <a:rPr lang="hu-HU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Az Önkományzat adósságot keletkeztető fejlesztési célja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834390</xdr:colOff>
      <xdr:row>0</xdr:row>
      <xdr:rowOff>19051</xdr:rowOff>
    </xdr:from>
    <xdr:to>
      <xdr:col>5</xdr:col>
      <xdr:colOff>57165</xdr:colOff>
      <xdr:row>2</xdr:row>
      <xdr:rowOff>238125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1443990" y="19051"/>
          <a:ext cx="3432825" cy="542924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00000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11. melléklet a   /2018. (   .) önk. rendelethez</a:t>
          </a:r>
        </a:p>
        <a:p>
          <a:pPr algn="ctr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2017. évi maradványkimutatás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0</xdr:row>
      <xdr:rowOff>161924</xdr:rowOff>
    </xdr:from>
    <xdr:to>
      <xdr:col>5</xdr:col>
      <xdr:colOff>2</xdr:colOff>
      <xdr:row>2</xdr:row>
      <xdr:rowOff>457200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611505" y="161924"/>
          <a:ext cx="2436497" cy="619126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00000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12/A. melléklet </a:t>
          </a:r>
          <a:r>
            <a:rPr lang="hu-HU" sz="1000" b="0" i="0" baseline="0">
              <a:effectLst/>
              <a:latin typeface="+mn-lt"/>
              <a:ea typeface="+mn-ea"/>
              <a:cs typeface="+mn-cs"/>
            </a:rPr>
            <a:t>a /2018. (  .) önk. rendelethez</a:t>
          </a:r>
          <a:r>
            <a:rPr lang="hu-HU" sz="1000" b="0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 </a:t>
          </a:r>
        </a:p>
        <a:p>
          <a:pPr algn="ctr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2016. évi mérleg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0</xdr:row>
      <xdr:rowOff>161924</xdr:rowOff>
    </xdr:from>
    <xdr:to>
      <xdr:col>5</xdr:col>
      <xdr:colOff>2</xdr:colOff>
      <xdr:row>1</xdr:row>
      <xdr:rowOff>457200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1297305" y="161924"/>
          <a:ext cx="3884297" cy="619126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00000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12/B. melléklet </a:t>
          </a:r>
          <a:r>
            <a:rPr lang="hu-HU" sz="1000" b="0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a /2018. (  .) önk. rendelethez</a:t>
          </a:r>
          <a:r>
            <a:rPr lang="hu-HU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2017. évi mérleg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1847850</xdr:colOff>
      <xdr:row>0</xdr:row>
      <xdr:rowOff>76200</xdr:rowOff>
    </xdr:from>
    <xdr:to>
      <xdr:col>6</xdr:col>
      <xdr:colOff>933449</xdr:colOff>
      <xdr:row>2</xdr:row>
      <xdr:rowOff>495300</xdr:rowOff>
    </xdr:to>
    <xdr:sp macro="" textlink="">
      <xdr:nvSpPr>
        <xdr:cNvPr id="2" name="Szöveg 1" descr="5%-os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2390775" y="76200"/>
          <a:ext cx="10582274" cy="742950"/>
        </a:xfrm>
        <a:prstGeom prst="roundRect">
          <a:avLst>
            <a:gd name="adj" fmla="val 16667"/>
          </a:avLst>
        </a:prstGeom>
        <a:pattFill prst="pct5">
          <a:fgClr>
            <a:srgbClr val="FFFFFF"/>
          </a:fgClr>
          <a:bgClr>
            <a:srgbClr val="FFFFFF"/>
          </a:bgClr>
        </a:pattFill>
        <a:ln w="9525">
          <a:solidFill>
            <a:srgbClr val="000000"/>
          </a:solidFill>
          <a:round/>
          <a:headEnd/>
          <a:tailEnd/>
        </a:ln>
        <a:effectLst>
          <a:outerShdw dist="45791" dir="3378596" algn="ctr" rotWithShape="0">
            <a:srgbClr val="000000"/>
          </a:outerShdw>
        </a:effectLst>
        <a:ex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hu-H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12/C. melléklet </a:t>
          </a:r>
          <a:r>
            <a:rPr lang="hu-HU" sz="1000" b="0" i="0" baseline="0">
              <a:effectLst/>
              <a:latin typeface="+mn-lt"/>
              <a:ea typeface="+mn-ea"/>
              <a:cs typeface="+mn-cs"/>
            </a:rPr>
            <a:t>a /2018. (   .) önk. rendelethez</a:t>
          </a:r>
          <a:endParaRPr lang="hu-HU" sz="9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hu-H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Kimutatás az immateriális javak, tárgyi eszközök, koncesszióba, vagyonkezelésbe adott eszközök állományának alakulásáról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66674</xdr:rowOff>
    </xdr:from>
    <xdr:to>
      <xdr:col>25</xdr:col>
      <xdr:colOff>586750</xdr:colOff>
      <xdr:row>1</xdr:row>
      <xdr:rowOff>466724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5286375" y="66674"/>
          <a:ext cx="2415550" cy="56197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00000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14. melléklet </a:t>
          </a:r>
          <a:r>
            <a:rPr lang="hu-HU" sz="1000" b="0" i="0" baseline="0">
              <a:effectLst/>
              <a:latin typeface="+mn-lt"/>
              <a:ea typeface="+mn-ea"/>
              <a:cs typeface="+mn-cs"/>
            </a:rPr>
            <a:t>a   /2018. (   .) önk. rendelethez</a:t>
          </a:r>
          <a:endParaRPr lang="hu-HU" sz="1000" b="0" i="0" u="none" strike="noStrike" baseline="0">
            <a:solidFill>
              <a:srgbClr val="000000"/>
            </a:solidFill>
            <a:latin typeface="Times New Roman CE"/>
            <a:cs typeface="Times New Roman CE"/>
          </a:endParaRPr>
        </a:p>
        <a:p>
          <a:pPr algn="ctr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2017. évi eredménykimutatás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</xdr:rowOff>
    </xdr:from>
    <xdr:to>
      <xdr:col>4</xdr:col>
      <xdr:colOff>0</xdr:colOff>
      <xdr:row>2</xdr:row>
      <xdr:rowOff>542926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333375" y="1"/>
          <a:ext cx="3857625" cy="102870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00000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1. számú kimutatás </a:t>
          </a:r>
          <a:r>
            <a:rPr lang="hu-HU" sz="1000" b="0" i="0" baseline="0">
              <a:effectLst/>
              <a:latin typeface="+mn-lt"/>
              <a:ea typeface="+mn-ea"/>
              <a:cs typeface="+mn-cs"/>
            </a:rPr>
            <a:t>a  /2018. (.)önkormányzati rendelethez</a:t>
          </a:r>
          <a:endParaRPr lang="hu-HU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hu-HU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Csengőd Község Önkormányzata által nyújtott</a:t>
          </a:r>
        </a:p>
        <a:p>
          <a:pPr algn="ctr" rtl="0">
            <a:defRPr sz="1000"/>
          </a:pPr>
          <a:r>
            <a:rPr lang="hu-HU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közvetett támogatásokról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24764</xdr:colOff>
      <xdr:row>0</xdr:row>
      <xdr:rowOff>9525</xdr:rowOff>
    </xdr:from>
    <xdr:to>
      <xdr:col>7</xdr:col>
      <xdr:colOff>714374</xdr:colOff>
      <xdr:row>0</xdr:row>
      <xdr:rowOff>609600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Arrowheads="1"/>
        </xdr:cNvSpPr>
      </xdr:nvSpPr>
      <xdr:spPr bwMode="auto">
        <a:xfrm>
          <a:off x="2263139" y="9525"/>
          <a:ext cx="6156960" cy="60007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00000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3. kimutatás </a:t>
          </a:r>
        </a:p>
        <a:p>
          <a:pPr algn="ctr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2017. állami támogatások részletezése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1</xdr:row>
      <xdr:rowOff>114300</xdr:rowOff>
    </xdr:from>
    <xdr:to>
      <xdr:col>3</xdr:col>
      <xdr:colOff>495300</xdr:colOff>
      <xdr:row>4</xdr:row>
      <xdr:rowOff>38100</xdr:rowOff>
    </xdr:to>
    <xdr:sp macro="" textlink="">
      <xdr:nvSpPr>
        <xdr:cNvPr id="2082" name="AutoShape 1">
          <a:extLst>
            <a:ext uri="{FF2B5EF4-FFF2-40B4-BE49-F238E27FC236}">
              <a16:creationId xmlns:a16="http://schemas.microsoft.com/office/drawing/2014/main" id="{00000000-0008-0000-0100-000022080000}"/>
            </a:ext>
          </a:extLst>
        </xdr:cNvPr>
        <xdr:cNvSpPr>
          <a:spLocks noChangeArrowheads="1"/>
        </xdr:cNvSpPr>
      </xdr:nvSpPr>
      <xdr:spPr bwMode="auto">
        <a:xfrm>
          <a:off x="1266825" y="276225"/>
          <a:ext cx="3695700" cy="40957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18288" tIns="18288" rIns="18288" bIns="0" anchor="t"/>
        <a:lstStyle/>
        <a:p>
          <a:pPr algn="ctr" rtl="0">
            <a:defRPr sz="1000"/>
          </a:pPr>
          <a:r>
            <a:rPr lang="hu-HU" sz="7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2.  melléklet a  </a:t>
          </a:r>
          <a:r>
            <a:rPr lang="hu-HU" sz="700" b="0" i="0" u="none" strike="noStrike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....</a:t>
          </a:r>
          <a:r>
            <a:rPr lang="hu-HU" sz="700" b="0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/2018. (......)</a:t>
          </a:r>
          <a:r>
            <a:rPr lang="hu-HU" sz="7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önk. rendelethez</a:t>
          </a:r>
        </a:p>
        <a:p>
          <a:pPr algn="ctr" rtl="0">
            <a:defRPr sz="1000"/>
          </a:pPr>
          <a:r>
            <a:rPr lang="hu-HU" sz="7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Csengőd Község 2017. ÉVI KÖLTSÉGVETÉSÉNEK</a:t>
          </a:r>
        </a:p>
        <a:p>
          <a:pPr algn="ctr" rtl="0">
            <a:defRPr sz="1000"/>
          </a:pPr>
          <a:r>
            <a:rPr lang="hu-HU" sz="7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ÖSSZEVONT MÉRLEGE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895349</xdr:colOff>
      <xdr:row>0</xdr:row>
      <xdr:rowOff>85725</xdr:rowOff>
    </xdr:from>
    <xdr:to>
      <xdr:col>4</xdr:col>
      <xdr:colOff>4943474</xdr:colOff>
      <xdr:row>2</xdr:row>
      <xdr:rowOff>104775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628899" y="85725"/>
          <a:ext cx="4048125" cy="36195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00000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u-HU" sz="7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3. melléklet a ../2018. (....) önk. rendelethez</a:t>
          </a:r>
        </a:p>
        <a:p>
          <a:pPr algn="ctr" rtl="0">
            <a:defRPr sz="1000"/>
          </a:pPr>
          <a:r>
            <a:rPr lang="hu-HU" sz="7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2017. ÉVI KÖLTSÉGVETÉSI BEVÉTELEK ÉS KIADÁSOK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828675</xdr:colOff>
      <xdr:row>0</xdr:row>
      <xdr:rowOff>133350</xdr:rowOff>
    </xdr:from>
    <xdr:to>
      <xdr:col>10</xdr:col>
      <xdr:colOff>381000</xdr:colOff>
      <xdr:row>2</xdr:row>
      <xdr:rowOff>142875</xdr:rowOff>
    </xdr:to>
    <xdr:sp macro="" textlink="">
      <xdr:nvSpPr>
        <xdr:cNvPr id="4097" name="AutoShape 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>
          <a:spLocks noChangeArrowheads="1"/>
        </xdr:cNvSpPr>
      </xdr:nvSpPr>
      <xdr:spPr bwMode="auto">
        <a:xfrm>
          <a:off x="1743075" y="133350"/>
          <a:ext cx="5534025" cy="37147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7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4. melléklet a .../2018. (.....)  önk. rendelethez</a:t>
          </a:r>
        </a:p>
        <a:p>
          <a:pPr algn="ctr" rtl="0">
            <a:lnSpc>
              <a:spcPts val="700"/>
            </a:lnSpc>
            <a:defRPr sz="1000"/>
          </a:pPr>
          <a:r>
            <a:rPr lang="hu-HU" sz="7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AZ ÖNKORMÁNYZAT ÁLTAL IRÁNYÍTOTT KÖLTSÉGVETÉSI SZERVEK  2017. ÉVI BEVÉTELEI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2162175</xdr:colOff>
      <xdr:row>0</xdr:row>
      <xdr:rowOff>133350</xdr:rowOff>
    </xdr:from>
    <xdr:to>
      <xdr:col>14</xdr:col>
      <xdr:colOff>38100</xdr:colOff>
      <xdr:row>3</xdr:row>
      <xdr:rowOff>47624</xdr:rowOff>
    </xdr:to>
    <xdr:sp macro="" textlink="">
      <xdr:nvSpPr>
        <xdr:cNvPr id="32769" name="AutoShape 1">
          <a:extLst>
            <a:ext uri="{FF2B5EF4-FFF2-40B4-BE49-F238E27FC236}">
              <a16:creationId xmlns:a16="http://schemas.microsoft.com/office/drawing/2014/main" id="{00000000-0008-0000-0400-000001800000}"/>
            </a:ext>
          </a:extLst>
        </xdr:cNvPr>
        <xdr:cNvSpPr>
          <a:spLocks noChangeArrowheads="1"/>
        </xdr:cNvSpPr>
      </xdr:nvSpPr>
      <xdr:spPr bwMode="auto">
        <a:xfrm>
          <a:off x="3028950" y="133350"/>
          <a:ext cx="5105400" cy="400049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00000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u-HU" sz="7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5. melléklet a .../2018. (.....) önk. rendelethez</a:t>
          </a:r>
        </a:p>
        <a:p>
          <a:pPr algn="ctr" rtl="0">
            <a:defRPr sz="1000"/>
          </a:pPr>
          <a:r>
            <a:rPr lang="hu-HU" sz="7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2017. ÉVI KÖLTSÉGVETÉSI KIADÁSOK</a:t>
          </a:r>
        </a:p>
        <a:p>
          <a:pPr algn="ctr" rtl="0">
            <a:defRPr sz="1000"/>
          </a:pPr>
          <a:r>
            <a:rPr lang="hu-HU" sz="7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( Címek, alcímek és kiemelt előirányzatok szerint 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</xdr:row>
      <xdr:rowOff>57150</xdr:rowOff>
    </xdr:from>
    <xdr:to>
      <xdr:col>2</xdr:col>
      <xdr:colOff>5534025</xdr:colOff>
      <xdr:row>2</xdr:row>
      <xdr:rowOff>352425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581025" y="209550"/>
          <a:ext cx="5381625" cy="44767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000000"/>
          </a:outerShdw>
        </a:effectLst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hu-HU" sz="7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6.  melléklet a ..../2018. (.....) önkormányzati rendelethez</a:t>
          </a:r>
        </a:p>
        <a:p>
          <a:pPr algn="ctr" rtl="0">
            <a:defRPr sz="1000"/>
          </a:pPr>
          <a:r>
            <a:rPr lang="hu-HU" sz="7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2017. évi BERUHÁZÁSOK, FELÚJÍTÁSOK , EGYÉB FELHALMOZÁSI JELLEGŰ KIADÁSOK, FINANSZÍROZÁSI KIADÁSOK</a:t>
          </a:r>
        </a:p>
        <a:p>
          <a:pPr algn="ctr" rtl="0">
            <a:defRPr sz="1000"/>
          </a:pPr>
          <a:r>
            <a:rPr lang="hu-HU" sz="7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( beruházásonként, felújításonként )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1560195</xdr:colOff>
      <xdr:row>1</xdr:row>
      <xdr:rowOff>0</xdr:rowOff>
    </xdr:from>
    <xdr:to>
      <xdr:col>4</xdr:col>
      <xdr:colOff>699159</xdr:colOff>
      <xdr:row>6</xdr:row>
      <xdr:rowOff>9525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1941195" y="485775"/>
          <a:ext cx="5206389" cy="81915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000000"/>
          </a:outerShdw>
        </a:effectLst>
      </xdr:spPr>
      <xdr:txBody>
        <a:bodyPr vertOverflow="clip" wrap="square" lIns="27432" tIns="22860" rIns="27432" bIns="0" anchor="t"/>
        <a:lstStyle/>
        <a:p>
          <a:pPr algn="ctr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7. melléklet a /2018. (  .) önk. rendelethez</a:t>
          </a:r>
        </a:p>
        <a:p>
          <a:pPr algn="ctr" rtl="0">
            <a:defRPr sz="1000"/>
          </a:pPr>
          <a:r>
            <a:rPr lang="hu-HU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CSENGŐD KÖZSÉGÖNKORMÁNYZATA</a:t>
          </a:r>
        </a:p>
        <a:p>
          <a:pPr algn="ctr" rtl="0">
            <a:defRPr sz="1000"/>
          </a:pPr>
          <a:r>
            <a:rPr lang="hu-HU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2017. ÉVI CÉLTARTALÉKA</a:t>
          </a:r>
        </a:p>
        <a:p>
          <a:pPr algn="ctr" rtl="0">
            <a:defRPr sz="1000"/>
          </a:pPr>
          <a:r>
            <a:rPr lang="hu-HU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(feladatonként)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85725</xdr:rowOff>
    </xdr:from>
    <xdr:to>
      <xdr:col>8</xdr:col>
      <xdr:colOff>514350</xdr:colOff>
      <xdr:row>1</xdr:row>
      <xdr:rowOff>428625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333375" y="85725"/>
          <a:ext cx="5057775" cy="53340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hu-HU" sz="7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8.  melléklet </a:t>
          </a:r>
          <a:r>
            <a:rPr lang="hu-HU" sz="1000" b="0" i="0" baseline="0">
              <a:effectLst/>
              <a:latin typeface="+mn-lt"/>
              <a:ea typeface="+mn-ea"/>
              <a:cs typeface="+mn-cs"/>
            </a:rPr>
            <a:t>a /2018</a:t>
          </a:r>
          <a:r>
            <a:rPr lang="hu-HU" sz="1000" b="0" i="0" u="none" strike="noStrike">
              <a:latin typeface="+mn-lt"/>
              <a:ea typeface="+mn-ea"/>
              <a:cs typeface="+mn-cs"/>
            </a:rPr>
            <a:t> </a:t>
          </a:r>
          <a:r>
            <a:rPr lang="hu-HU"/>
            <a:t> </a:t>
          </a:r>
          <a:r>
            <a:rPr lang="hu-HU" sz="1000" b="0" i="0" u="none" strike="noStrike">
              <a:latin typeface="+mn-lt"/>
              <a:ea typeface="+mn-ea"/>
              <a:cs typeface="+mn-cs"/>
            </a:rPr>
            <a:t>.</a:t>
          </a:r>
          <a:r>
            <a:rPr lang="hu-HU" sz="1000" b="0" i="0" u="none" strike="noStrike" baseline="0">
              <a:latin typeface="+mn-lt"/>
              <a:ea typeface="+mn-ea"/>
              <a:cs typeface="+mn-cs"/>
            </a:rPr>
            <a:t> (   ). önkormányzati rendelethez</a:t>
          </a:r>
          <a:r>
            <a:rPr lang="hu-HU" sz="1000" b="1" i="0" u="none" strike="noStrike">
              <a:latin typeface="+mn-lt"/>
              <a:ea typeface="+mn-ea"/>
              <a:cs typeface="+mn-cs"/>
            </a:rPr>
            <a:t> </a:t>
          </a:r>
          <a:r>
            <a:rPr lang="hu-HU" sz="1000" b="0" i="0" u="none" strike="noStrike">
              <a:latin typeface="+mn-lt"/>
              <a:ea typeface="+mn-ea"/>
              <a:cs typeface="+mn-cs"/>
            </a:rPr>
            <a:t> </a:t>
          </a:r>
          <a:r>
            <a:rPr lang="hu-HU"/>
            <a:t> </a:t>
          </a:r>
          <a:r>
            <a:rPr lang="hu-HU" sz="1000" b="0" i="0" u="none" strike="noStrike">
              <a:latin typeface="+mn-lt"/>
              <a:ea typeface="+mn-ea"/>
              <a:cs typeface="+mn-cs"/>
            </a:rPr>
            <a:t> </a:t>
          </a:r>
          <a:endParaRPr lang="hu-HU" sz="7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hu-HU" sz="7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CSENGŐD KÖZSÉG 2017. ÉVI EURÓPAI UNIÓS FORRÁSBÓL FINANSZÍROZOTT TÁMOGATÁSSAL MEGVALÓSULÓ PROGRAMJAI, PROJEKTJEI, ILLETVE ILYEN PROJEKTEKHEZ TÖRTÉNŐ HOZZÁJÁRULÁSAI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</xdr:colOff>
      <xdr:row>0</xdr:row>
      <xdr:rowOff>0</xdr:rowOff>
    </xdr:from>
    <xdr:to>
      <xdr:col>6</xdr:col>
      <xdr:colOff>226684</xdr:colOff>
      <xdr:row>1</xdr:row>
      <xdr:rowOff>323849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1221105" y="0"/>
          <a:ext cx="2663179" cy="485774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7961" dir="2700000" algn="ctr" rotWithShape="0">
            <a:srgbClr val="00000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u-HU" sz="7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9. melléklet </a:t>
          </a:r>
          <a:r>
            <a:rPr kumimoji="0" lang="hu-HU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/>
              <a:ea typeface="Tahoma"/>
              <a:cs typeface="Tahoma"/>
            </a:rPr>
            <a:t>a /2018. (   .) önk. rendelethez</a:t>
          </a:r>
          <a:endParaRPr lang="hu-HU" sz="7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ctr" rtl="0">
            <a:defRPr sz="1000"/>
          </a:pPr>
          <a:r>
            <a:rPr lang="hu-HU" sz="8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Több éves kihatással járó döntések (előirányzatai) számszerűsítése évenkénti bontásban és összesítve</a:t>
          </a:r>
          <a:endParaRPr lang="hu-HU" sz="7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ctr" rtl="0">
            <a:defRPr sz="1000"/>
          </a:pPr>
          <a:endParaRPr lang="hu-HU" sz="7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seng&#337;d\2017.%20&#233;vi%20k&#246;lts&#233;gvet&#233;s-tervezet\B&#233;rkomp,%20szoc.&#225;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seng&#337;d\K&#233;pvisel&#337;-test&#252;leti%20&#252;l&#233;s\2018-02-27\K&#246;lts&#233;gvet&#233;s-tervezet-2018-02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seng&#337;d\Z&#225;rsz&#225;mad&#225;s2016\polg&#225;rmester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seng&#337;d\Z&#225;rsz&#225;mad&#225;s2016\fam&#237;l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seng&#337;d\Z&#225;rsz&#225;mad&#225;s2016\&#243;vo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Munka2"/>
      <sheetName val="Munka3"/>
    </sheetNames>
    <sheetDataSet>
      <sheetData sheetId="0">
        <row r="6">
          <cell r="D6">
            <v>68400</v>
          </cell>
          <cell r="E6">
            <v>15732</v>
          </cell>
        </row>
        <row r="7">
          <cell r="D7">
            <v>205200</v>
          </cell>
          <cell r="E7">
            <v>47196</v>
          </cell>
        </row>
        <row r="8">
          <cell r="D8">
            <v>141600</v>
          </cell>
          <cell r="E8">
            <v>32568</v>
          </cell>
        </row>
        <row r="15">
          <cell r="D15">
            <v>240000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ei felhaszn"/>
      <sheetName val="2 mérleg"/>
      <sheetName val="3 bevételek"/>
      <sheetName val="4 int-i bevételek "/>
      <sheetName val="5 kiadások"/>
      <sheetName val="6 beruházások"/>
      <sheetName val="7 céltartalék"/>
      <sheetName val="8 EU"/>
      <sheetName val="9 több éves döntések"/>
      <sheetName val="10 fejlesztési célok"/>
      <sheetName val="1. kimutatás"/>
      <sheetName val="2. kimutatás"/>
      <sheetName val="3. kimutatás"/>
    </sheetNames>
    <sheetDataSet>
      <sheetData sheetId="0"/>
      <sheetData sheetId="1"/>
      <sheetData sheetId="2"/>
      <sheetData sheetId="3"/>
      <sheetData sheetId="4"/>
      <sheetData sheetId="5">
        <row r="32">
          <cell r="D32">
            <v>750000</v>
          </cell>
        </row>
        <row r="36">
          <cell r="D36"/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ímlap"/>
      <sheetName val="Tartalom"/>
      <sheetName val="99"/>
      <sheetName val="01"/>
      <sheetName val="02"/>
      <sheetName val="04"/>
      <sheetName val="05 A"/>
      <sheetName val="06 A"/>
      <sheetName val="07 A"/>
      <sheetName val="08"/>
      <sheetName val="09 A"/>
      <sheetName val="12 A"/>
      <sheetName val="13 A"/>
      <sheetName val="15 A"/>
      <sheetName val="16 A"/>
      <sheetName val="17 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3">
          <cell r="C23">
            <v>173101</v>
          </cell>
        </row>
        <row r="24">
          <cell r="C24">
            <v>350202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ímlap"/>
      <sheetName val="Tartalom"/>
      <sheetName val="99"/>
      <sheetName val="01"/>
      <sheetName val="02"/>
      <sheetName val="04"/>
      <sheetName val="05 A"/>
      <sheetName val="06 A"/>
      <sheetName val="07 A"/>
      <sheetName val="08"/>
      <sheetName val="09 A"/>
      <sheetName val="12 A"/>
      <sheetName val="13 A"/>
      <sheetName val="15 A"/>
      <sheetName val="16 A"/>
      <sheetName val="17 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5">
          <cell r="C25">
            <v>14348196</v>
          </cell>
        </row>
        <row r="26">
          <cell r="C26">
            <v>271730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ímlap"/>
      <sheetName val="Tartalom"/>
      <sheetName val="99"/>
      <sheetName val="01"/>
      <sheetName val="02"/>
      <sheetName val="04"/>
      <sheetName val="05 A"/>
      <sheetName val="06 A"/>
      <sheetName val="07 A"/>
      <sheetName val="08"/>
      <sheetName val="09 A"/>
      <sheetName val="12 A"/>
      <sheetName val="13 A"/>
      <sheetName val="15 A"/>
      <sheetName val="16 A"/>
      <sheetName val="17 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3">
          <cell r="C13">
            <v>3895</v>
          </cell>
        </row>
        <row r="14">
          <cell r="C14">
            <v>82388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view="pageBreakPreview" zoomScale="106" zoomScaleSheetLayoutView="106" workbookViewId="0">
      <selection activeCell="F16" sqref="F16"/>
    </sheetView>
  </sheetViews>
  <sheetFormatPr defaultRowHeight="12.75" x14ac:dyDescent="0.2"/>
  <cols>
    <col min="1" max="1" width="16" customWidth="1"/>
    <col min="2" max="2" width="24.28515625" customWidth="1"/>
    <col min="3" max="3" width="15.85546875" customWidth="1"/>
    <col min="4" max="4" width="14.42578125" customWidth="1"/>
    <col min="5" max="5" width="16.7109375" customWidth="1"/>
    <col min="6" max="7" width="15" customWidth="1"/>
  </cols>
  <sheetData>
    <row r="1" spans="1:8" x14ac:dyDescent="0.2">
      <c r="A1" s="676"/>
      <c r="B1" s="676"/>
      <c r="C1" s="676"/>
      <c r="D1" s="676"/>
      <c r="E1" s="676"/>
      <c r="F1" s="676"/>
      <c r="G1" s="676"/>
      <c r="H1" s="676"/>
    </row>
    <row r="2" spans="1:8" ht="35.25" customHeight="1" x14ac:dyDescent="0.2">
      <c r="A2" s="1302"/>
      <c r="B2" s="1302"/>
      <c r="C2" s="1302"/>
      <c r="D2" s="1302"/>
      <c r="E2" s="1302"/>
      <c r="F2" s="1302"/>
      <c r="G2" s="1302"/>
      <c r="H2" s="1302"/>
    </row>
    <row r="3" spans="1:8" s="682" customFormat="1" ht="15.75" thickBot="1" x14ac:dyDescent="0.3">
      <c r="A3" s="677" t="s">
        <v>635</v>
      </c>
      <c r="B3" s="677" t="s">
        <v>635</v>
      </c>
      <c r="C3" s="1"/>
      <c r="G3" s="678" t="s">
        <v>636</v>
      </c>
      <c r="H3" s="130"/>
    </row>
    <row r="4" spans="1:8" ht="39" thickBot="1" x14ac:dyDescent="0.25">
      <c r="A4" s="699" t="s">
        <v>514</v>
      </c>
      <c r="B4" s="701" t="s">
        <v>635</v>
      </c>
      <c r="C4" s="699" t="s">
        <v>212</v>
      </c>
      <c r="D4" s="700" t="s">
        <v>211</v>
      </c>
      <c r="E4" s="700" t="s">
        <v>637</v>
      </c>
      <c r="F4" s="700" t="s">
        <v>192</v>
      </c>
      <c r="G4" s="679" t="s">
        <v>360</v>
      </c>
      <c r="H4" s="130"/>
    </row>
    <row r="5" spans="1:8" x14ac:dyDescent="0.2">
      <c r="A5" s="691" t="s">
        <v>635</v>
      </c>
      <c r="B5" s="691" t="s">
        <v>635</v>
      </c>
      <c r="C5" s="691" t="s">
        <v>635</v>
      </c>
      <c r="D5" s="692"/>
      <c r="E5" s="692"/>
      <c r="F5" s="692"/>
      <c r="G5" s="693"/>
      <c r="H5" s="130"/>
    </row>
    <row r="6" spans="1:8" x14ac:dyDescent="0.2">
      <c r="A6" s="1303" t="s">
        <v>643</v>
      </c>
      <c r="B6" s="1303"/>
      <c r="C6" s="687">
        <v>24961064</v>
      </c>
      <c r="D6" s="688">
        <v>174875</v>
      </c>
      <c r="E6" s="688">
        <v>91924</v>
      </c>
      <c r="F6" s="688">
        <v>135078</v>
      </c>
      <c r="G6" s="694">
        <f>SUM(C6:F6)</f>
        <v>25362941</v>
      </c>
      <c r="H6" s="130"/>
    </row>
    <row r="7" spans="1:8" ht="12.75" customHeight="1" x14ac:dyDescent="0.2">
      <c r="A7" s="1304" t="s">
        <v>638</v>
      </c>
      <c r="B7" s="690" t="s">
        <v>639</v>
      </c>
      <c r="C7" s="689">
        <v>840075211</v>
      </c>
      <c r="D7" s="688">
        <v>15228576</v>
      </c>
      <c r="E7" s="688">
        <v>49205223</v>
      </c>
      <c r="F7" s="688">
        <v>4626596</v>
      </c>
      <c r="G7" s="694">
        <f t="shared" ref="G7:G8" si="0">SUM(C7:F7)</f>
        <v>909135606</v>
      </c>
      <c r="H7" s="130"/>
    </row>
    <row r="8" spans="1:8" ht="12.75" customHeight="1" x14ac:dyDescent="0.2">
      <c r="A8" s="1304"/>
      <c r="B8" s="690" t="s">
        <v>640</v>
      </c>
      <c r="C8" s="689">
        <v>661793381</v>
      </c>
      <c r="D8" s="688">
        <v>15222448</v>
      </c>
      <c r="E8" s="688">
        <v>49283137</v>
      </c>
      <c r="F8" s="688">
        <v>4721611</v>
      </c>
      <c r="G8" s="694">
        <f t="shared" si="0"/>
        <v>731020577</v>
      </c>
      <c r="H8" s="130"/>
    </row>
    <row r="9" spans="1:8" x14ac:dyDescent="0.2">
      <c r="A9" s="1305" t="s">
        <v>641</v>
      </c>
      <c r="B9" s="1305"/>
      <c r="C9" s="689">
        <v>0</v>
      </c>
      <c r="D9" s="688">
        <v>0</v>
      </c>
      <c r="E9" s="688">
        <v>0</v>
      </c>
      <c r="F9" s="688">
        <v>0</v>
      </c>
      <c r="G9" s="694">
        <f t="shared" ref="G9:G10" si="1">SUM(D9:F9)</f>
        <v>0</v>
      </c>
      <c r="H9" s="130"/>
    </row>
    <row r="10" spans="1:8" ht="12.75" customHeight="1" thickBot="1" x14ac:dyDescent="0.25">
      <c r="A10" s="1306" t="s">
        <v>642</v>
      </c>
      <c r="B10" s="1306"/>
      <c r="C10" s="695"/>
      <c r="D10" s="696"/>
      <c r="E10" s="696"/>
      <c r="F10" s="696"/>
      <c r="G10" s="697">
        <f t="shared" si="1"/>
        <v>0</v>
      </c>
      <c r="H10" s="130"/>
    </row>
    <row r="11" spans="1:8" ht="13.5" customHeight="1" thickBot="1" x14ac:dyDescent="0.25">
      <c r="A11" s="1300" t="s">
        <v>644</v>
      </c>
      <c r="B11" s="1301"/>
      <c r="C11" s="698">
        <v>203242894</v>
      </c>
      <c r="D11" s="680">
        <v>181003</v>
      </c>
      <c r="E11" s="680">
        <v>14010</v>
      </c>
      <c r="F11" s="680">
        <v>40063</v>
      </c>
      <c r="G11" s="681">
        <f>SUM(C11:F11)</f>
        <v>203477970</v>
      </c>
      <c r="H11" s="130"/>
    </row>
    <row r="12" spans="1:8" ht="13.5" thickBot="1" x14ac:dyDescent="0.25">
      <c r="A12" s="1300" t="s">
        <v>644</v>
      </c>
      <c r="B12" s="1301"/>
      <c r="C12" s="698"/>
      <c r="D12" s="680"/>
      <c r="E12" s="680"/>
      <c r="F12" s="680"/>
      <c r="G12" s="681">
        <f>SUM(C12:F12)</f>
        <v>0</v>
      </c>
      <c r="H12" s="130"/>
    </row>
    <row r="13" spans="1:8" x14ac:dyDescent="0.2">
      <c r="A13" s="683"/>
      <c r="B13" s="684"/>
      <c r="C13" s="685"/>
      <c r="D13" s="684"/>
      <c r="E13" s="684"/>
      <c r="F13" s="684"/>
      <c r="G13" s="686"/>
      <c r="H13" s="684"/>
    </row>
    <row r="14" spans="1:8" x14ac:dyDescent="0.2">
      <c r="A14" s="682"/>
      <c r="B14" s="682"/>
      <c r="C14" s="682"/>
      <c r="D14" s="682"/>
      <c r="E14" s="682"/>
      <c r="F14" s="682"/>
      <c r="G14" s="682"/>
      <c r="H14" s="682"/>
    </row>
  </sheetData>
  <mergeCells count="7">
    <mergeCell ref="A12:B12"/>
    <mergeCell ref="A2:H2"/>
    <mergeCell ref="A6:B6"/>
    <mergeCell ref="A7:A8"/>
    <mergeCell ref="A9:B9"/>
    <mergeCell ref="A10:B10"/>
    <mergeCell ref="A11:B1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2"/>
  <sheetViews>
    <sheetView workbookViewId="0">
      <selection activeCell="A10" sqref="A10:XFD13"/>
    </sheetView>
  </sheetViews>
  <sheetFormatPr defaultRowHeight="12.75" x14ac:dyDescent="0.2"/>
  <cols>
    <col min="1" max="1" width="5.140625" customWidth="1"/>
    <col min="2" max="2" width="13.42578125" customWidth="1"/>
    <col min="3" max="3" width="12.42578125" customWidth="1"/>
    <col min="4" max="4" width="12" customWidth="1"/>
    <col min="5" max="5" width="14.42578125" customWidth="1"/>
    <col min="6" max="6" width="11.5703125" customWidth="1"/>
    <col min="7" max="7" width="10.42578125" customWidth="1"/>
    <col min="8" max="8" width="13.28515625" customWidth="1"/>
  </cols>
  <sheetData>
    <row r="1" spans="1:9" x14ac:dyDescent="0.2">
      <c r="A1" s="606"/>
      <c r="B1" s="606"/>
      <c r="C1" s="606"/>
      <c r="D1" s="606"/>
      <c r="E1" s="606"/>
      <c r="F1" s="606"/>
      <c r="G1" s="606"/>
      <c r="H1" s="606"/>
      <c r="I1" s="607"/>
    </row>
    <row r="2" spans="1:9" x14ac:dyDescent="0.2">
      <c r="A2" s="606"/>
      <c r="B2" s="606"/>
      <c r="C2" s="606"/>
      <c r="D2" s="606"/>
      <c r="E2" s="606"/>
      <c r="F2" s="608"/>
      <c r="G2" s="609"/>
      <c r="H2" s="610"/>
      <c r="I2" s="607"/>
    </row>
    <row r="3" spans="1:9" x14ac:dyDescent="0.2">
      <c r="A3" s="606"/>
      <c r="B3" s="606"/>
      <c r="C3" s="606"/>
      <c r="D3" s="606"/>
      <c r="E3" s="606"/>
      <c r="F3" s="608"/>
      <c r="G3" s="609"/>
      <c r="H3" s="610"/>
      <c r="I3" s="607"/>
    </row>
    <row r="4" spans="1:9" x14ac:dyDescent="0.2">
      <c r="A4" s="606"/>
      <c r="B4" s="606"/>
      <c r="C4" s="606"/>
      <c r="D4" s="606"/>
      <c r="E4" s="606"/>
      <c r="F4" s="608"/>
      <c r="G4" s="609"/>
      <c r="H4" s="610"/>
      <c r="I4" s="607"/>
    </row>
    <row r="5" spans="1:9" x14ac:dyDescent="0.2">
      <c r="A5" s="606"/>
      <c r="B5" s="606"/>
      <c r="C5" s="606"/>
      <c r="D5" s="606"/>
      <c r="E5" s="606"/>
      <c r="F5" s="608"/>
      <c r="G5" s="609"/>
      <c r="H5" s="610"/>
      <c r="I5" s="607"/>
    </row>
    <row r="6" spans="1:9" x14ac:dyDescent="0.2">
      <c r="A6" s="606"/>
      <c r="B6" s="606"/>
      <c r="C6" s="606"/>
      <c r="D6" s="606"/>
      <c r="E6" s="606"/>
      <c r="F6" s="608"/>
      <c r="G6" s="609"/>
      <c r="H6" s="611"/>
      <c r="I6" s="607"/>
    </row>
    <row r="7" spans="1:9" ht="13.5" thickBot="1" x14ac:dyDescent="0.25">
      <c r="A7" s="606"/>
      <c r="B7" s="606"/>
      <c r="C7" s="606"/>
      <c r="D7" s="606"/>
      <c r="E7" s="606"/>
      <c r="F7" s="608"/>
      <c r="G7" s="609"/>
      <c r="H7" s="611" t="s">
        <v>371</v>
      </c>
      <c r="I7" s="607"/>
    </row>
    <row r="8" spans="1:9" ht="63.75" x14ac:dyDescent="0.2">
      <c r="A8" s="612"/>
      <c r="B8" s="613" t="s">
        <v>390</v>
      </c>
      <c r="C8" s="614" t="s">
        <v>391</v>
      </c>
      <c r="D8" s="614" t="s">
        <v>392</v>
      </c>
      <c r="E8" s="615" t="s">
        <v>393</v>
      </c>
      <c r="F8" s="615" t="s">
        <v>394</v>
      </c>
      <c r="G8" s="615" t="s">
        <v>395</v>
      </c>
      <c r="H8" s="615" t="s">
        <v>396</v>
      </c>
      <c r="I8" s="607"/>
    </row>
    <row r="9" spans="1:9" ht="13.5" thickBot="1" x14ac:dyDescent="0.25">
      <c r="A9" s="616" t="s">
        <v>2</v>
      </c>
      <c r="B9" s="617"/>
      <c r="C9" s="618"/>
      <c r="D9" s="619"/>
      <c r="E9" s="619"/>
      <c r="F9" s="620"/>
      <c r="G9" s="620"/>
      <c r="H9" s="620"/>
      <c r="I9" s="607"/>
    </row>
    <row r="10" spans="1:9" ht="13.5" thickBot="1" x14ac:dyDescent="0.25">
      <c r="A10" s="1825" t="s">
        <v>379</v>
      </c>
      <c r="B10" s="1826"/>
      <c r="C10" s="621"/>
      <c r="D10" s="622"/>
      <c r="E10" s="623"/>
      <c r="F10" s="624"/>
      <c r="G10" s="624"/>
      <c r="H10" s="624"/>
      <c r="I10" s="607"/>
    </row>
    <row r="11" spans="1:9" x14ac:dyDescent="0.2">
      <c r="A11" s="625"/>
      <c r="B11" s="625"/>
      <c r="C11" s="625"/>
      <c r="D11" s="625"/>
      <c r="E11" s="625"/>
      <c r="F11" s="625"/>
      <c r="G11" s="625"/>
      <c r="H11" s="626"/>
      <c r="I11" s="607"/>
    </row>
    <row r="12" spans="1:9" x14ac:dyDescent="0.2">
      <c r="A12" s="607"/>
      <c r="B12" s="607"/>
      <c r="C12" s="607"/>
      <c r="D12" s="607"/>
      <c r="E12" s="607"/>
      <c r="F12" s="607"/>
      <c r="G12" s="607"/>
      <c r="H12" s="627"/>
      <c r="I12" s="607"/>
    </row>
  </sheetData>
  <mergeCells count="1">
    <mergeCell ref="A10:B10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6"/>
  <sheetViews>
    <sheetView workbookViewId="0">
      <selection activeCell="C11" sqref="C11"/>
    </sheetView>
  </sheetViews>
  <sheetFormatPr defaultRowHeight="12.75" x14ac:dyDescent="0.2"/>
  <cols>
    <col min="2" max="2" width="17.5703125" customWidth="1"/>
    <col min="3" max="3" width="21.140625" customWidth="1"/>
    <col min="4" max="4" width="19.85546875" customWidth="1"/>
    <col min="5" max="5" width="19.5703125" customWidth="1"/>
    <col min="6" max="6" width="15.42578125" customWidth="1"/>
    <col min="7" max="7" width="12.140625" customWidth="1"/>
  </cols>
  <sheetData>
    <row r="1" spans="1:7" x14ac:dyDescent="0.2">
      <c r="A1" s="628"/>
      <c r="B1" s="628"/>
      <c r="C1" s="628"/>
      <c r="D1" s="628"/>
      <c r="E1" s="628"/>
      <c r="F1" s="628"/>
      <c r="G1" s="628"/>
    </row>
    <row r="2" spans="1:7" x14ac:dyDescent="0.2">
      <c r="A2" s="628"/>
      <c r="B2" s="628"/>
      <c r="C2" s="628"/>
      <c r="D2" s="628"/>
      <c r="E2" s="628"/>
      <c r="F2" s="628"/>
      <c r="G2" s="628"/>
    </row>
    <row r="3" spans="1:7" ht="27.75" customHeight="1" x14ac:dyDescent="0.2">
      <c r="A3" s="628"/>
      <c r="B3" s="628"/>
      <c r="C3" s="628"/>
      <c r="D3" s="628"/>
      <c r="E3" s="628"/>
      <c r="F3" s="628"/>
      <c r="G3" s="628" t="s">
        <v>357</v>
      </c>
    </row>
    <row r="4" spans="1:7" x14ac:dyDescent="0.2">
      <c r="A4" s="1828" t="s">
        <v>433</v>
      </c>
      <c r="B4" s="1829"/>
      <c r="C4" s="1456" t="s">
        <v>212</v>
      </c>
      <c r="D4" s="1456" t="s">
        <v>211</v>
      </c>
      <c r="E4" s="1456" t="s">
        <v>191</v>
      </c>
      <c r="F4" s="1456" t="s">
        <v>192</v>
      </c>
      <c r="G4" s="1827" t="s">
        <v>16</v>
      </c>
    </row>
    <row r="5" spans="1:7" ht="54.75" customHeight="1" x14ac:dyDescent="0.2">
      <c r="A5" s="1830"/>
      <c r="B5" s="1831"/>
      <c r="C5" s="1456"/>
      <c r="D5" s="1456"/>
      <c r="E5" s="1456"/>
      <c r="F5" s="1456"/>
      <c r="G5" s="1827"/>
    </row>
    <row r="6" spans="1:7" ht="48" customHeight="1" x14ac:dyDescent="0.2">
      <c r="A6" s="1267" t="s">
        <v>397</v>
      </c>
      <c r="B6" s="1268" t="s">
        <v>398</v>
      </c>
      <c r="C6" s="1269">
        <v>514076858</v>
      </c>
      <c r="D6" s="1269">
        <v>594072</v>
      </c>
      <c r="E6" s="1269">
        <v>11621241</v>
      </c>
      <c r="F6" s="1269">
        <v>2825</v>
      </c>
      <c r="G6" s="1270">
        <f>SUM(C6:F6)</f>
        <v>526294996</v>
      </c>
    </row>
    <row r="7" spans="1:7" ht="41.25" customHeight="1" x14ac:dyDescent="0.2">
      <c r="A7" s="1267" t="s">
        <v>399</v>
      </c>
      <c r="B7" s="1268" t="s">
        <v>400</v>
      </c>
      <c r="C7" s="1269">
        <v>203490179</v>
      </c>
      <c r="D7" s="1269">
        <v>43719014</v>
      </c>
      <c r="E7" s="1269">
        <v>59086113</v>
      </c>
      <c r="F7" s="1269">
        <v>43326732</v>
      </c>
      <c r="G7" s="1270">
        <f t="shared" ref="G7:G24" si="0">SUM(C7:F7)</f>
        <v>349622038</v>
      </c>
    </row>
    <row r="8" spans="1:7" ht="45" customHeight="1" x14ac:dyDescent="0.25">
      <c r="A8" s="1271" t="s">
        <v>401</v>
      </c>
      <c r="B8" s="1272" t="s">
        <v>402</v>
      </c>
      <c r="C8" s="1273">
        <f>C6-C7</f>
        <v>310586679</v>
      </c>
      <c r="D8" s="1273">
        <f t="shared" ref="D8:F8" si="1">D6-D7</f>
        <v>-43124942</v>
      </c>
      <c r="E8" s="1273">
        <f t="shared" si="1"/>
        <v>-47464872</v>
      </c>
      <c r="F8" s="1273">
        <f t="shared" si="1"/>
        <v>-43323907</v>
      </c>
      <c r="G8" s="1270">
        <f t="shared" si="0"/>
        <v>176672958</v>
      </c>
    </row>
    <row r="9" spans="1:7" ht="46.5" customHeight="1" x14ac:dyDescent="0.2">
      <c r="A9" s="1267" t="s">
        <v>403</v>
      </c>
      <c r="B9" s="1268" t="s">
        <v>404</v>
      </c>
      <c r="C9" s="1269">
        <v>123576637</v>
      </c>
      <c r="D9" s="1269">
        <v>43312315</v>
      </c>
      <c r="E9" s="1269">
        <v>47465610</v>
      </c>
      <c r="F9" s="1269">
        <v>43338363</v>
      </c>
      <c r="G9" s="1270">
        <f t="shared" si="0"/>
        <v>257692925</v>
      </c>
    </row>
    <row r="10" spans="1:7" ht="47.25" customHeight="1" x14ac:dyDescent="0.2">
      <c r="A10" s="1267" t="s">
        <v>405</v>
      </c>
      <c r="B10" s="1268" t="s">
        <v>406</v>
      </c>
      <c r="C10" s="1269">
        <v>238371305</v>
      </c>
      <c r="D10" s="1269">
        <v>0</v>
      </c>
      <c r="E10" s="1269">
        <v>0</v>
      </c>
      <c r="F10" s="1269">
        <v>0</v>
      </c>
      <c r="G10" s="1270">
        <f t="shared" si="0"/>
        <v>238371305</v>
      </c>
    </row>
    <row r="11" spans="1:7" ht="58.5" customHeight="1" x14ac:dyDescent="0.25">
      <c r="A11" s="1271" t="s">
        <v>407</v>
      </c>
      <c r="B11" s="1272" t="s">
        <v>408</v>
      </c>
      <c r="C11" s="1273">
        <f>C9-C10</f>
        <v>-114794668</v>
      </c>
      <c r="D11" s="1273">
        <f t="shared" ref="D11:F11" si="2">D9-D10</f>
        <v>43312315</v>
      </c>
      <c r="E11" s="1273">
        <f t="shared" si="2"/>
        <v>47465610</v>
      </c>
      <c r="F11" s="1273">
        <f t="shared" si="2"/>
        <v>43338363</v>
      </c>
      <c r="G11" s="1270">
        <f t="shared" si="0"/>
        <v>19321620</v>
      </c>
    </row>
    <row r="12" spans="1:7" ht="52.5" customHeight="1" x14ac:dyDescent="0.2">
      <c r="A12" s="1274" t="s">
        <v>82</v>
      </c>
      <c r="B12" s="1275" t="s">
        <v>409</v>
      </c>
      <c r="C12" s="1270">
        <f>C8+C11</f>
        <v>195792011</v>
      </c>
      <c r="D12" s="1270">
        <f>D8+D11</f>
        <v>187373</v>
      </c>
      <c r="E12" s="1270">
        <f>E8+E11</f>
        <v>738</v>
      </c>
      <c r="F12" s="1270">
        <f>F8+F11</f>
        <v>14456</v>
      </c>
      <c r="G12" s="1270">
        <f t="shared" si="0"/>
        <v>195994578</v>
      </c>
    </row>
    <row r="13" spans="1:7" ht="75" customHeight="1" x14ac:dyDescent="0.2">
      <c r="A13" s="1267" t="s">
        <v>410</v>
      </c>
      <c r="B13" s="1268" t="s">
        <v>411</v>
      </c>
      <c r="C13" s="1269"/>
      <c r="D13" s="1269"/>
      <c r="E13" s="1269"/>
      <c r="F13" s="1269"/>
      <c r="G13" s="1270">
        <f t="shared" si="0"/>
        <v>0</v>
      </c>
    </row>
    <row r="14" spans="1:7" ht="51.75" customHeight="1" x14ac:dyDescent="0.2">
      <c r="A14" s="1267" t="s">
        <v>412</v>
      </c>
      <c r="B14" s="1268" t="s">
        <v>413</v>
      </c>
      <c r="C14" s="1269"/>
      <c r="D14" s="1269"/>
      <c r="E14" s="1269"/>
      <c r="F14" s="1269"/>
      <c r="G14" s="1270">
        <f t="shared" si="0"/>
        <v>0</v>
      </c>
    </row>
    <row r="15" spans="1:7" ht="60" x14ac:dyDescent="0.25">
      <c r="A15" s="1271" t="s">
        <v>414</v>
      </c>
      <c r="B15" s="1272" t="s">
        <v>415</v>
      </c>
      <c r="C15" s="1273"/>
      <c r="D15" s="1273"/>
      <c r="E15" s="1273"/>
      <c r="F15" s="1273"/>
      <c r="G15" s="1270">
        <f t="shared" si="0"/>
        <v>0</v>
      </c>
    </row>
    <row r="16" spans="1:7" ht="52.5" customHeight="1" x14ac:dyDescent="0.2">
      <c r="A16" s="1267" t="s">
        <v>416</v>
      </c>
      <c r="B16" s="1268" t="s">
        <v>417</v>
      </c>
      <c r="C16" s="1269"/>
      <c r="D16" s="1269"/>
      <c r="E16" s="1269"/>
      <c r="F16" s="1269"/>
      <c r="G16" s="1270">
        <f t="shared" si="0"/>
        <v>0</v>
      </c>
    </row>
    <row r="17" spans="1:7" ht="57.75" customHeight="1" x14ac:dyDescent="0.2">
      <c r="A17" s="1267" t="s">
        <v>418</v>
      </c>
      <c r="B17" s="1268" t="s">
        <v>419</v>
      </c>
      <c r="C17" s="1269"/>
      <c r="D17" s="1269"/>
      <c r="E17" s="1269"/>
      <c r="F17" s="1269"/>
      <c r="G17" s="1270">
        <f t="shared" si="0"/>
        <v>0</v>
      </c>
    </row>
    <row r="18" spans="1:7" ht="77.25" customHeight="1" x14ac:dyDescent="0.25">
      <c r="A18" s="1271" t="s">
        <v>420</v>
      </c>
      <c r="B18" s="1272" t="s">
        <v>421</v>
      </c>
      <c r="C18" s="1273"/>
      <c r="D18" s="1273"/>
      <c r="E18" s="1273"/>
      <c r="F18" s="1273"/>
      <c r="G18" s="1270">
        <f t="shared" si="0"/>
        <v>0</v>
      </c>
    </row>
    <row r="19" spans="1:7" ht="66.75" customHeight="1" x14ac:dyDescent="0.2">
      <c r="A19" s="1276" t="s">
        <v>83</v>
      </c>
      <c r="B19" s="1277" t="s">
        <v>422</v>
      </c>
      <c r="C19" s="1278">
        <f>C15+C18</f>
        <v>0</v>
      </c>
      <c r="D19" s="1278">
        <f>D15+D18</f>
        <v>0</v>
      </c>
      <c r="E19" s="1278">
        <f>E15+E18</f>
        <v>0</v>
      </c>
      <c r="F19" s="1278">
        <f>F15+F18</f>
        <v>0</v>
      </c>
      <c r="G19" s="1270">
        <f t="shared" si="0"/>
        <v>0</v>
      </c>
    </row>
    <row r="20" spans="1:7" ht="28.5" x14ac:dyDescent="0.2">
      <c r="A20" s="1274" t="s">
        <v>423</v>
      </c>
      <c r="B20" s="1275" t="s">
        <v>424</v>
      </c>
      <c r="C20" s="1270">
        <f>C12+C19</f>
        <v>195792011</v>
      </c>
      <c r="D20" s="1270">
        <f>D12+D19</f>
        <v>187373</v>
      </c>
      <c r="E20" s="1270">
        <f>E12+E19</f>
        <v>738</v>
      </c>
      <c r="F20" s="1270">
        <f>F12+F19</f>
        <v>14456</v>
      </c>
      <c r="G20" s="1270">
        <f t="shared" si="0"/>
        <v>195994578</v>
      </c>
    </row>
    <row r="21" spans="1:7" ht="81.75" customHeight="1" x14ac:dyDescent="0.2">
      <c r="A21" s="1279" t="s">
        <v>425</v>
      </c>
      <c r="B21" s="1268" t="s">
        <v>426</v>
      </c>
      <c r="C21" s="1269"/>
      <c r="D21" s="1269"/>
      <c r="E21" s="1269"/>
      <c r="F21" s="1269"/>
      <c r="G21" s="1270">
        <f t="shared" si="0"/>
        <v>0</v>
      </c>
    </row>
    <row r="22" spans="1:7" ht="42.75" customHeight="1" x14ac:dyDescent="0.2">
      <c r="A22" s="1279" t="s">
        <v>427</v>
      </c>
      <c r="B22" s="1268" t="s">
        <v>428</v>
      </c>
      <c r="C22" s="1269">
        <f>C12-C21</f>
        <v>195792011</v>
      </c>
      <c r="D22" s="1269">
        <f>D12-D21</f>
        <v>187373</v>
      </c>
      <c r="E22" s="1269">
        <f>E12-E21</f>
        <v>738</v>
      </c>
      <c r="F22" s="1269">
        <f>F12-F21</f>
        <v>14456</v>
      </c>
      <c r="G22" s="1270">
        <f t="shared" si="0"/>
        <v>195994578</v>
      </c>
    </row>
    <row r="23" spans="1:7" ht="68.25" customHeight="1" x14ac:dyDescent="0.2">
      <c r="A23" s="1279" t="s">
        <v>429</v>
      </c>
      <c r="B23" s="1268" t="s">
        <v>430</v>
      </c>
      <c r="C23" s="1269"/>
      <c r="D23" s="1269"/>
      <c r="E23" s="1269"/>
      <c r="F23" s="1269"/>
      <c r="G23" s="1270">
        <f t="shared" si="0"/>
        <v>0</v>
      </c>
    </row>
    <row r="24" spans="1:7" ht="71.25" customHeight="1" x14ac:dyDescent="0.2">
      <c r="A24" s="1279" t="s">
        <v>431</v>
      </c>
      <c r="B24" s="1268" t="s">
        <v>432</v>
      </c>
      <c r="C24" s="1269">
        <f>C19-C23</f>
        <v>0</v>
      </c>
      <c r="D24" s="1269">
        <f>D19-D23</f>
        <v>0</v>
      </c>
      <c r="E24" s="1269">
        <f>E19-E23</f>
        <v>0</v>
      </c>
      <c r="F24" s="1269">
        <f>F19-F23</f>
        <v>0</v>
      </c>
      <c r="G24" s="1270">
        <f t="shared" si="0"/>
        <v>0</v>
      </c>
    </row>
    <row r="25" spans="1:7" x14ac:dyDescent="0.2">
      <c r="A25" s="1089"/>
      <c r="B25" s="1089"/>
      <c r="C25" s="1089"/>
      <c r="D25" s="1089"/>
      <c r="E25" s="1089"/>
      <c r="F25" s="1089"/>
      <c r="G25" s="1089"/>
    </row>
    <row r="26" spans="1:7" x14ac:dyDescent="0.2">
      <c r="A26" s="1089"/>
      <c r="B26" s="1089"/>
      <c r="C26" s="1089"/>
      <c r="D26" s="1089"/>
      <c r="E26" s="1089"/>
      <c r="F26" s="1089"/>
      <c r="G26" s="1089"/>
    </row>
  </sheetData>
  <mergeCells count="6">
    <mergeCell ref="G4:G5"/>
    <mergeCell ref="A4:B5"/>
    <mergeCell ref="C4:C5"/>
    <mergeCell ref="D4:D5"/>
    <mergeCell ref="E4:E5"/>
    <mergeCell ref="F4:F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86"/>
  <sheetViews>
    <sheetView workbookViewId="0">
      <selection activeCell="F85" sqref="F85"/>
    </sheetView>
  </sheetViews>
  <sheetFormatPr defaultRowHeight="12.75" x14ac:dyDescent="0.2"/>
  <cols>
    <col min="1" max="1" width="19.42578125" customWidth="1"/>
    <col min="2" max="2" width="14.7109375" customWidth="1"/>
    <col min="3" max="3" width="15.140625" customWidth="1"/>
    <col min="4" max="4" width="16.140625" customWidth="1"/>
    <col min="5" max="5" width="12.28515625" customWidth="1"/>
    <col min="6" max="6" width="16.5703125" customWidth="1"/>
  </cols>
  <sheetData>
    <row r="2" spans="1:6" x14ac:dyDescent="0.2">
      <c r="A2" s="1836"/>
      <c r="B2" s="1836"/>
      <c r="C2" s="1836"/>
      <c r="D2" s="1836"/>
      <c r="E2" s="1836"/>
      <c r="F2" s="1836"/>
    </row>
    <row r="3" spans="1:6" ht="53.25" customHeight="1" x14ac:dyDescent="0.2">
      <c r="A3" s="1142"/>
      <c r="B3" s="1143"/>
      <c r="C3" s="1144"/>
      <c r="D3" s="1143"/>
      <c r="E3" s="1143"/>
      <c r="F3" s="1145" t="s">
        <v>357</v>
      </c>
    </row>
    <row r="4" spans="1:6" x14ac:dyDescent="0.2">
      <c r="A4" s="1837" t="s">
        <v>512</v>
      </c>
      <c r="B4" s="1832" t="s">
        <v>212</v>
      </c>
      <c r="C4" s="1832" t="s">
        <v>211</v>
      </c>
      <c r="D4" s="1832" t="s">
        <v>191</v>
      </c>
      <c r="E4" s="1832" t="s">
        <v>192</v>
      </c>
      <c r="F4" s="1835" t="s">
        <v>16</v>
      </c>
    </row>
    <row r="5" spans="1:6" x14ac:dyDescent="0.2">
      <c r="A5" s="1837"/>
      <c r="B5" s="1833"/>
      <c r="C5" s="1833"/>
      <c r="D5" s="1833"/>
      <c r="E5" s="1833"/>
      <c r="F5" s="1835"/>
    </row>
    <row r="6" spans="1:6" x14ac:dyDescent="0.2">
      <c r="A6" s="1837"/>
      <c r="B6" s="1833"/>
      <c r="C6" s="1833"/>
      <c r="D6" s="1833"/>
      <c r="E6" s="1833"/>
      <c r="F6" s="1835"/>
    </row>
    <row r="7" spans="1:6" x14ac:dyDescent="0.2">
      <c r="A7" s="1837"/>
      <c r="B7" s="1834"/>
      <c r="C7" s="1834"/>
      <c r="D7" s="1834"/>
      <c r="E7" s="1834"/>
      <c r="F7" s="1835"/>
    </row>
    <row r="8" spans="1:6" ht="27.75" customHeight="1" x14ac:dyDescent="0.2">
      <c r="A8" s="1146" t="s">
        <v>435</v>
      </c>
      <c r="B8" s="1147">
        <v>187158</v>
      </c>
      <c r="C8" s="1147">
        <v>5</v>
      </c>
      <c r="D8" s="1148"/>
      <c r="E8" s="1148"/>
      <c r="F8" s="1149">
        <f>SUM(B8:E8)</f>
        <v>187163</v>
      </c>
    </row>
    <row r="9" spans="1:6" ht="53.25" customHeight="1" x14ac:dyDescent="0.2">
      <c r="A9" s="1150" t="s">
        <v>436</v>
      </c>
      <c r="B9" s="1151">
        <f>B8</f>
        <v>187158</v>
      </c>
      <c r="C9" s="1152">
        <f>C8</f>
        <v>5</v>
      </c>
      <c r="D9" s="1152">
        <f>D8</f>
        <v>0</v>
      </c>
      <c r="E9" s="1152">
        <f>E8</f>
        <v>0</v>
      </c>
      <c r="F9" s="1149">
        <f t="shared" ref="F9:F73" si="0">SUM(B9:E9)</f>
        <v>187163</v>
      </c>
    </row>
    <row r="10" spans="1:6" ht="51" customHeight="1" x14ac:dyDescent="0.2">
      <c r="A10" s="1153" t="s">
        <v>437</v>
      </c>
      <c r="B10" s="1154">
        <v>2625013468</v>
      </c>
      <c r="C10" s="1155"/>
      <c r="D10" s="1155"/>
      <c r="E10" s="1155"/>
      <c r="F10" s="1149">
        <f>SUM(B10:E10)</f>
        <v>2625013468</v>
      </c>
    </row>
    <row r="11" spans="1:6" ht="59.25" customHeight="1" x14ac:dyDescent="0.2">
      <c r="A11" s="1156" t="s">
        <v>438</v>
      </c>
      <c r="B11" s="1157">
        <v>30731905</v>
      </c>
      <c r="C11" s="1155">
        <v>336308</v>
      </c>
      <c r="D11" s="1155"/>
      <c r="E11" s="1155"/>
      <c r="F11" s="1149">
        <f>SUM(B11:E11)</f>
        <v>31068213</v>
      </c>
    </row>
    <row r="12" spans="1:6" ht="33.75" customHeight="1" x14ac:dyDescent="0.2">
      <c r="A12" s="1156" t="s">
        <v>439</v>
      </c>
      <c r="B12" s="1158">
        <v>4251682</v>
      </c>
      <c r="C12" s="1159"/>
      <c r="D12" s="1155"/>
      <c r="E12" s="1155"/>
      <c r="F12" s="1149">
        <f>SUM(B12:E12)</f>
        <v>4251682</v>
      </c>
    </row>
    <row r="13" spans="1:6" ht="51" customHeight="1" x14ac:dyDescent="0.2">
      <c r="A13" s="1160" t="s">
        <v>440</v>
      </c>
      <c r="B13" s="1151">
        <f>B10+B11+B12</f>
        <v>2659997055</v>
      </c>
      <c r="C13" s="1152">
        <f>C10+C11+C12</f>
        <v>336308</v>
      </c>
      <c r="D13" s="1152">
        <f>D10+D11+D12</f>
        <v>0</v>
      </c>
      <c r="E13" s="1152">
        <f>E10+E11+E12</f>
        <v>0</v>
      </c>
      <c r="F13" s="1149">
        <f t="shared" si="0"/>
        <v>2660333363</v>
      </c>
    </row>
    <row r="14" spans="1:6" ht="55.5" customHeight="1" x14ac:dyDescent="0.2">
      <c r="A14" s="1161" t="s">
        <v>441</v>
      </c>
      <c r="B14" s="1155">
        <v>2801600</v>
      </c>
      <c r="C14" s="1155"/>
      <c r="D14" s="1155"/>
      <c r="E14" s="1155"/>
      <c r="F14" s="1149">
        <f t="shared" si="0"/>
        <v>2801600</v>
      </c>
    </row>
    <row r="15" spans="1:6" ht="43.5" customHeight="1" x14ac:dyDescent="0.2">
      <c r="A15" s="1161" t="s">
        <v>442</v>
      </c>
      <c r="B15" s="1155">
        <v>2801600</v>
      </c>
      <c r="C15" s="1155"/>
      <c r="D15" s="1155"/>
      <c r="E15" s="1155"/>
      <c r="F15" s="1149">
        <f t="shared" si="0"/>
        <v>2801600</v>
      </c>
    </row>
    <row r="16" spans="1:6" ht="57" customHeight="1" x14ac:dyDescent="0.2">
      <c r="A16" s="1162" t="s">
        <v>443</v>
      </c>
      <c r="B16" s="1155">
        <f>B14</f>
        <v>2801600</v>
      </c>
      <c r="C16" s="1155"/>
      <c r="D16" s="1155"/>
      <c r="E16" s="1155"/>
      <c r="F16" s="1149">
        <f t="shared" si="0"/>
        <v>2801600</v>
      </c>
    </row>
    <row r="17" spans="1:6" ht="81" customHeight="1" x14ac:dyDescent="0.2">
      <c r="A17" s="1163" t="s">
        <v>444</v>
      </c>
      <c r="B17" s="1164">
        <f>SUM(B9+B13+B16)</f>
        <v>2662985813</v>
      </c>
      <c r="C17" s="1164">
        <f>SUM(C9+C13+C16)</f>
        <v>336313</v>
      </c>
      <c r="D17" s="1164">
        <f>SUM(D9+D13+D16)</f>
        <v>0</v>
      </c>
      <c r="E17" s="1164">
        <f>SUM(E9+E13+E16)</f>
        <v>0</v>
      </c>
      <c r="F17" s="1165">
        <f t="shared" si="0"/>
        <v>2663322126</v>
      </c>
    </row>
    <row r="18" spans="1:6" x14ac:dyDescent="0.2">
      <c r="A18" s="1156" t="s">
        <v>445</v>
      </c>
      <c r="B18" s="1155">
        <v>778557</v>
      </c>
      <c r="C18" s="1155">
        <v>1595</v>
      </c>
      <c r="D18" s="1155"/>
      <c r="E18" s="1155"/>
      <c r="F18" s="1149">
        <f t="shared" si="0"/>
        <v>780152</v>
      </c>
    </row>
    <row r="19" spans="1:6" ht="36.75" customHeight="1" x14ac:dyDescent="0.2">
      <c r="A19" s="1160" t="s">
        <v>446</v>
      </c>
      <c r="B19" s="1155">
        <f>B18</f>
        <v>778557</v>
      </c>
      <c r="C19" s="1155">
        <f t="shared" ref="C19:E20" si="1">C18</f>
        <v>1595</v>
      </c>
      <c r="D19" s="1155">
        <f t="shared" si="1"/>
        <v>0</v>
      </c>
      <c r="E19" s="1155">
        <f t="shared" si="1"/>
        <v>0</v>
      </c>
      <c r="F19" s="1149">
        <f t="shared" si="0"/>
        <v>780152</v>
      </c>
    </row>
    <row r="20" spans="1:6" ht="66" customHeight="1" x14ac:dyDescent="0.2">
      <c r="A20" s="1166" t="s">
        <v>447</v>
      </c>
      <c r="B20" s="1167">
        <f>B19</f>
        <v>778557</v>
      </c>
      <c r="C20" s="1167">
        <f t="shared" si="1"/>
        <v>1595</v>
      </c>
      <c r="D20" s="1167">
        <f t="shared" si="1"/>
        <v>0</v>
      </c>
      <c r="E20" s="1167">
        <f t="shared" si="1"/>
        <v>0</v>
      </c>
      <c r="F20" s="1165">
        <f t="shared" si="0"/>
        <v>780152</v>
      </c>
    </row>
    <row r="21" spans="1:6" ht="31.5" customHeight="1" x14ac:dyDescent="0.2">
      <c r="A21" s="1161" t="s">
        <v>448</v>
      </c>
      <c r="B21" s="1155">
        <v>218245</v>
      </c>
      <c r="C21" s="1155">
        <v>166730</v>
      </c>
      <c r="D21" s="1155">
        <v>71585</v>
      </c>
      <c r="E21" s="1155">
        <v>82100</v>
      </c>
      <c r="F21" s="1149">
        <f t="shared" si="0"/>
        <v>538660</v>
      </c>
    </row>
    <row r="22" spans="1:6" ht="69" customHeight="1" x14ac:dyDescent="0.2">
      <c r="A22" s="1168" t="s">
        <v>449</v>
      </c>
      <c r="B22" s="1155">
        <f>B21</f>
        <v>218245</v>
      </c>
      <c r="C22" s="1155">
        <f>C21</f>
        <v>166730</v>
      </c>
      <c r="D22" s="1155">
        <f>D21</f>
        <v>71585</v>
      </c>
      <c r="E22" s="1155">
        <f>E21</f>
        <v>82100</v>
      </c>
      <c r="F22" s="1149">
        <f t="shared" si="0"/>
        <v>538660</v>
      </c>
    </row>
    <row r="23" spans="1:6" ht="37.5" customHeight="1" x14ac:dyDescent="0.2">
      <c r="A23" s="1169" t="s">
        <v>450</v>
      </c>
      <c r="B23" s="1170">
        <v>24742819</v>
      </c>
      <c r="C23" s="1171">
        <v>8145</v>
      </c>
      <c r="D23" s="1155">
        <v>20339</v>
      </c>
      <c r="E23" s="1155">
        <v>52978</v>
      </c>
      <c r="F23" s="1149">
        <f t="shared" si="0"/>
        <v>24824281</v>
      </c>
    </row>
    <row r="24" spans="1:6" ht="32.25" customHeight="1" x14ac:dyDescent="0.2">
      <c r="A24" s="1160" t="s">
        <v>451</v>
      </c>
      <c r="B24" s="1155">
        <f>B23</f>
        <v>24742819</v>
      </c>
      <c r="C24" s="1171">
        <f>C23</f>
        <v>8145</v>
      </c>
      <c r="D24" s="1155">
        <f>D23</f>
        <v>20339</v>
      </c>
      <c r="E24" s="1155">
        <f>E23</f>
        <v>52978</v>
      </c>
      <c r="F24" s="1149">
        <f t="shared" si="0"/>
        <v>24824281</v>
      </c>
    </row>
    <row r="25" spans="1:6" ht="40.5" customHeight="1" x14ac:dyDescent="0.2">
      <c r="A25" s="1163" t="s">
        <v>452</v>
      </c>
      <c r="B25" s="1164">
        <f>B24+B22</f>
        <v>24961064</v>
      </c>
      <c r="C25" s="1172">
        <f>C24+C22</f>
        <v>174875</v>
      </c>
      <c r="D25" s="1164">
        <f>D24+D22</f>
        <v>91924</v>
      </c>
      <c r="E25" s="1164">
        <f>E24+E22</f>
        <v>135078</v>
      </c>
      <c r="F25" s="1165">
        <f t="shared" si="0"/>
        <v>25362941</v>
      </c>
    </row>
    <row r="26" spans="1:6" ht="72.75" customHeight="1" thickBot="1" x14ac:dyDescent="0.25">
      <c r="A26" s="1156" t="s">
        <v>453</v>
      </c>
      <c r="B26" s="1173">
        <v>3829466</v>
      </c>
      <c r="C26" s="1151">
        <f>C27+C33</f>
        <v>0</v>
      </c>
      <c r="D26" s="1152">
        <f>D27+D33</f>
        <v>0</v>
      </c>
      <c r="E26" s="1152">
        <f>E27+E33</f>
        <v>0</v>
      </c>
      <c r="F26" s="1149">
        <f t="shared" si="0"/>
        <v>3829466</v>
      </c>
    </row>
    <row r="27" spans="1:6" ht="45.75" thickBot="1" x14ac:dyDescent="0.25">
      <c r="A27" s="1174" t="s">
        <v>454</v>
      </c>
      <c r="B27" s="1175">
        <v>518287</v>
      </c>
      <c r="C27" s="1171">
        <f>SUM(C28:C32)</f>
        <v>0</v>
      </c>
      <c r="D27" s="1155">
        <f>SUM(D28:D32)</f>
        <v>0</v>
      </c>
      <c r="E27" s="1155"/>
      <c r="F27" s="1149">
        <f t="shared" si="0"/>
        <v>518287</v>
      </c>
    </row>
    <row r="28" spans="1:6" ht="56.25" x14ac:dyDescent="0.2">
      <c r="A28" s="1169" t="s">
        <v>455</v>
      </c>
      <c r="B28" s="1173">
        <v>3042955</v>
      </c>
      <c r="C28" s="1171">
        <v>0</v>
      </c>
      <c r="D28" s="1155"/>
      <c r="E28" s="1155"/>
      <c r="F28" s="1149">
        <f t="shared" si="0"/>
        <v>3042955</v>
      </c>
    </row>
    <row r="29" spans="1:6" ht="77.25" customHeight="1" x14ac:dyDescent="0.2">
      <c r="A29" s="1156" t="s">
        <v>456</v>
      </c>
      <c r="B29" s="1154">
        <v>268224</v>
      </c>
      <c r="C29" s="1171"/>
      <c r="D29" s="1155"/>
      <c r="E29" s="1155"/>
      <c r="F29" s="1149">
        <f t="shared" si="0"/>
        <v>268224</v>
      </c>
    </row>
    <row r="30" spans="1:6" ht="75.75" customHeight="1" x14ac:dyDescent="0.2">
      <c r="A30" s="1161" t="s">
        <v>457</v>
      </c>
      <c r="B30" s="1154">
        <v>271100</v>
      </c>
      <c r="C30" s="1171"/>
      <c r="D30" s="1155"/>
      <c r="E30" s="1155"/>
      <c r="F30" s="1149">
        <f t="shared" si="0"/>
        <v>271100</v>
      </c>
    </row>
    <row r="31" spans="1:6" ht="101.25" x14ac:dyDescent="0.2">
      <c r="A31" s="1161" t="s">
        <v>458</v>
      </c>
      <c r="B31" s="1173">
        <v>0</v>
      </c>
      <c r="C31" s="1171">
        <v>0</v>
      </c>
      <c r="D31" s="1155">
        <v>0</v>
      </c>
      <c r="E31" s="1155">
        <v>0</v>
      </c>
      <c r="F31" s="1149">
        <f t="shared" si="0"/>
        <v>0</v>
      </c>
    </row>
    <row r="32" spans="1:6" ht="63.75" customHeight="1" x14ac:dyDescent="0.2">
      <c r="A32" s="1161" t="s">
        <v>459</v>
      </c>
      <c r="B32" s="1173">
        <v>18943</v>
      </c>
      <c r="C32" s="1171"/>
      <c r="D32" s="1155"/>
      <c r="E32" s="1155"/>
      <c r="F32" s="1149">
        <f t="shared" si="0"/>
        <v>18943</v>
      </c>
    </row>
    <row r="33" spans="1:6" ht="73.5" customHeight="1" x14ac:dyDescent="0.2">
      <c r="A33" s="1169" t="s">
        <v>460</v>
      </c>
      <c r="B33" s="1170">
        <v>5116</v>
      </c>
      <c r="C33" s="1176">
        <f>C35+C34</f>
        <v>0</v>
      </c>
      <c r="D33" s="1147">
        <f>D35+D34</f>
        <v>0</v>
      </c>
      <c r="E33" s="1147">
        <f>E35+E34</f>
        <v>0</v>
      </c>
      <c r="F33" s="1149">
        <f t="shared" si="0"/>
        <v>5116</v>
      </c>
    </row>
    <row r="34" spans="1:6" ht="78.75" customHeight="1" x14ac:dyDescent="0.2">
      <c r="A34" s="1161" t="s">
        <v>461</v>
      </c>
      <c r="B34" s="1170">
        <v>110000</v>
      </c>
      <c r="C34" s="1176"/>
      <c r="D34" s="1147"/>
      <c r="E34" s="1147"/>
      <c r="F34" s="1149">
        <f t="shared" si="0"/>
        <v>110000</v>
      </c>
    </row>
    <row r="35" spans="1:6" ht="69.75" customHeight="1" x14ac:dyDescent="0.2">
      <c r="A35" s="1161" t="s">
        <v>462</v>
      </c>
      <c r="B35" s="1154">
        <v>137041</v>
      </c>
      <c r="C35" s="1176"/>
      <c r="D35" s="1147"/>
      <c r="E35" s="1147"/>
      <c r="F35" s="1149">
        <f t="shared" si="0"/>
        <v>137041</v>
      </c>
    </row>
    <row r="36" spans="1:6" ht="62.25" customHeight="1" x14ac:dyDescent="0.2">
      <c r="A36" s="1168" t="s">
        <v>463</v>
      </c>
      <c r="B36" s="1152">
        <f>B26+B30</f>
        <v>4100566</v>
      </c>
      <c r="C36" s="1151">
        <f>SUM(C37:C40)</f>
        <v>0</v>
      </c>
      <c r="D36" s="1152">
        <f>SUM(D37:D40)</f>
        <v>0</v>
      </c>
      <c r="E36" s="1152">
        <f>SUM(E37:E40)</f>
        <v>0</v>
      </c>
      <c r="F36" s="1149">
        <f t="shared" si="0"/>
        <v>4100566</v>
      </c>
    </row>
    <row r="37" spans="1:6" ht="108.75" customHeight="1" x14ac:dyDescent="0.2">
      <c r="A37" s="1169" t="s">
        <v>464</v>
      </c>
      <c r="B37" s="1173">
        <v>23479382</v>
      </c>
      <c r="C37" s="1171"/>
      <c r="D37" s="1155"/>
      <c r="E37" s="1155"/>
      <c r="F37" s="1149">
        <f t="shared" si="0"/>
        <v>23479382</v>
      </c>
    </row>
    <row r="38" spans="1:6" ht="78" customHeight="1" x14ac:dyDescent="0.2">
      <c r="A38" s="1156" t="s">
        <v>465</v>
      </c>
      <c r="B38" s="1154">
        <v>41941</v>
      </c>
      <c r="C38" s="1171"/>
      <c r="D38" s="1155">
        <v>0</v>
      </c>
      <c r="E38" s="1155">
        <v>0</v>
      </c>
      <c r="F38" s="1149">
        <f t="shared" si="0"/>
        <v>41941</v>
      </c>
    </row>
    <row r="39" spans="1:6" ht="81.75" customHeight="1" x14ac:dyDescent="0.2">
      <c r="A39" s="1161" t="s">
        <v>466</v>
      </c>
      <c r="B39" s="1173">
        <v>12000</v>
      </c>
      <c r="C39" s="1171"/>
      <c r="D39" s="1155">
        <v>0</v>
      </c>
      <c r="E39" s="1155">
        <v>0</v>
      </c>
      <c r="F39" s="1149">
        <f t="shared" si="0"/>
        <v>12000</v>
      </c>
    </row>
    <row r="40" spans="1:6" ht="84.75" customHeight="1" x14ac:dyDescent="0.2">
      <c r="A40" s="1161" t="s">
        <v>467</v>
      </c>
      <c r="B40" s="1154">
        <v>29941</v>
      </c>
      <c r="C40" s="1171"/>
      <c r="D40" s="1155"/>
      <c r="E40" s="1155"/>
      <c r="F40" s="1149">
        <f t="shared" si="0"/>
        <v>29941</v>
      </c>
    </row>
    <row r="41" spans="1:6" ht="78.75" customHeight="1" x14ac:dyDescent="0.2">
      <c r="A41" s="1169" t="s">
        <v>468</v>
      </c>
      <c r="B41" s="1177">
        <v>796160</v>
      </c>
      <c r="C41" s="1171">
        <v>0</v>
      </c>
      <c r="D41" s="1155">
        <f>D42+D43+D44</f>
        <v>53400</v>
      </c>
      <c r="E41" s="1155">
        <v>0</v>
      </c>
      <c r="F41" s="1149">
        <f t="shared" si="0"/>
        <v>849560</v>
      </c>
    </row>
    <row r="42" spans="1:6" ht="156.75" customHeight="1" x14ac:dyDescent="0.2">
      <c r="A42" s="1161" t="s">
        <v>469</v>
      </c>
      <c r="B42" s="1173">
        <v>626899</v>
      </c>
      <c r="C42" s="1151"/>
      <c r="D42" s="1152">
        <v>0</v>
      </c>
      <c r="E42" s="1152"/>
      <c r="F42" s="1149">
        <f t="shared" si="0"/>
        <v>626899</v>
      </c>
    </row>
    <row r="43" spans="1:6" ht="72.75" customHeight="1" x14ac:dyDescent="0.2">
      <c r="A43" s="1161" t="s">
        <v>470</v>
      </c>
      <c r="B43" s="1173"/>
      <c r="C43" s="1171"/>
      <c r="D43" s="1155">
        <v>53400</v>
      </c>
      <c r="E43" s="1155">
        <f>SUM(E45:E52)</f>
        <v>0</v>
      </c>
      <c r="F43" s="1149">
        <f t="shared" si="0"/>
        <v>53400</v>
      </c>
    </row>
    <row r="44" spans="1:6" ht="99.75" customHeight="1" x14ac:dyDescent="0.2">
      <c r="A44" s="1169" t="s">
        <v>471</v>
      </c>
      <c r="B44" s="1155">
        <v>169261</v>
      </c>
      <c r="C44" s="1171"/>
      <c r="D44" s="1155"/>
      <c r="E44" s="1155"/>
      <c r="F44" s="1149">
        <f t="shared" si="0"/>
        <v>169261</v>
      </c>
    </row>
    <row r="45" spans="1:6" ht="89.25" customHeight="1" x14ac:dyDescent="0.2">
      <c r="A45" s="1160" t="s">
        <v>472</v>
      </c>
      <c r="B45" s="1155">
        <f>B37+B38+B41</f>
        <v>24317483</v>
      </c>
      <c r="C45" s="1171">
        <f>C37+C38+C41</f>
        <v>0</v>
      </c>
      <c r="D45" s="1155">
        <f>D37+D38+D41</f>
        <v>53400</v>
      </c>
      <c r="E45" s="1155">
        <f>E37+E38+E41</f>
        <v>0</v>
      </c>
      <c r="F45" s="1149">
        <f t="shared" si="0"/>
        <v>24370883</v>
      </c>
    </row>
    <row r="46" spans="1:6" ht="33.75" customHeight="1" x14ac:dyDescent="0.2">
      <c r="A46" s="1161" t="s">
        <v>473</v>
      </c>
      <c r="B46" s="1173">
        <v>500</v>
      </c>
      <c r="C46" s="1171"/>
      <c r="D46" s="1155"/>
      <c r="E46" s="1155"/>
      <c r="F46" s="1149">
        <f t="shared" si="0"/>
        <v>500</v>
      </c>
    </row>
    <row r="47" spans="1:6" ht="46.5" customHeight="1" x14ac:dyDescent="0.2">
      <c r="A47" s="1169" t="s">
        <v>474</v>
      </c>
      <c r="B47" s="1154">
        <v>500</v>
      </c>
      <c r="C47" s="1171"/>
      <c r="D47" s="1155"/>
      <c r="E47" s="1155"/>
      <c r="F47" s="1149">
        <f t="shared" si="0"/>
        <v>500</v>
      </c>
    </row>
    <row r="48" spans="1:6" ht="25.5" customHeight="1" x14ac:dyDescent="0.2">
      <c r="A48" s="1156" t="s">
        <v>475</v>
      </c>
      <c r="B48" s="1173">
        <v>70000</v>
      </c>
      <c r="C48" s="1171"/>
      <c r="D48" s="1155"/>
      <c r="E48" s="1155"/>
      <c r="F48" s="1149">
        <f t="shared" si="0"/>
        <v>70000</v>
      </c>
    </row>
    <row r="49" spans="1:6" ht="81" customHeight="1" x14ac:dyDescent="0.2">
      <c r="A49" s="1156" t="s">
        <v>476</v>
      </c>
      <c r="B49" s="1154">
        <v>2530</v>
      </c>
      <c r="C49" s="1171"/>
      <c r="D49" s="1155"/>
      <c r="E49" s="1155"/>
      <c r="F49" s="1149">
        <f t="shared" si="0"/>
        <v>2530</v>
      </c>
    </row>
    <row r="50" spans="1:6" ht="66" customHeight="1" x14ac:dyDescent="0.2">
      <c r="A50" s="1160" t="s">
        <v>477</v>
      </c>
      <c r="B50" s="1155">
        <f>B46+B48+B49</f>
        <v>73030</v>
      </c>
      <c r="C50" s="1171">
        <f>C46+C48+C49</f>
        <v>0</v>
      </c>
      <c r="D50" s="1155">
        <f>D46+D48+D49</f>
        <v>0</v>
      </c>
      <c r="E50" s="1155">
        <f>E46+E48+E49</f>
        <v>0</v>
      </c>
      <c r="F50" s="1149">
        <f t="shared" si="0"/>
        <v>73030</v>
      </c>
    </row>
    <row r="51" spans="1:6" ht="42.75" customHeight="1" x14ac:dyDescent="0.2">
      <c r="A51" s="1166" t="s">
        <v>478</v>
      </c>
      <c r="B51" s="1164">
        <f>B50+B45+B36</f>
        <v>28491079</v>
      </c>
      <c r="C51" s="1172">
        <f>C50+C45+C36</f>
        <v>0</v>
      </c>
      <c r="D51" s="1164">
        <f>D50+D45+D36</f>
        <v>53400</v>
      </c>
      <c r="E51" s="1164">
        <f>E50+E45+E36</f>
        <v>0</v>
      </c>
      <c r="F51" s="1165">
        <f t="shared" si="0"/>
        <v>28544479</v>
      </c>
    </row>
    <row r="52" spans="1:6" ht="63.75" customHeight="1" x14ac:dyDescent="0.2">
      <c r="A52" s="1161" t="s">
        <v>479</v>
      </c>
      <c r="B52" s="1155">
        <v>755028</v>
      </c>
      <c r="C52" s="1171"/>
      <c r="D52" s="1155">
        <v>1150547</v>
      </c>
      <c r="E52" s="1155"/>
      <c r="F52" s="1149">
        <f t="shared" si="0"/>
        <v>1905575</v>
      </c>
    </row>
    <row r="53" spans="1:6" ht="79.5" customHeight="1" x14ac:dyDescent="0.2">
      <c r="A53" s="1168" t="s">
        <v>480</v>
      </c>
      <c r="B53" s="1155">
        <f>B52</f>
        <v>755028</v>
      </c>
      <c r="C53" s="1171"/>
      <c r="D53" s="1155">
        <f>D52</f>
        <v>1150547</v>
      </c>
      <c r="E53" s="1155"/>
      <c r="F53" s="1149">
        <f t="shared" si="0"/>
        <v>1905575</v>
      </c>
    </row>
    <row r="54" spans="1:6" ht="48.75" customHeight="1" x14ac:dyDescent="0.2">
      <c r="A54" s="1169" t="s">
        <v>481</v>
      </c>
      <c r="B54" s="1155">
        <v>-1552293</v>
      </c>
      <c r="C54" s="1171">
        <v>-7746</v>
      </c>
      <c r="D54" s="1155">
        <v>-1219427</v>
      </c>
      <c r="E54" s="1155"/>
      <c r="F54" s="1149">
        <f t="shared" si="0"/>
        <v>-2779466</v>
      </c>
    </row>
    <row r="55" spans="1:6" ht="60.75" customHeight="1" x14ac:dyDescent="0.2">
      <c r="A55" s="1168" t="s">
        <v>482</v>
      </c>
      <c r="B55" s="1155">
        <f>B54</f>
        <v>-1552293</v>
      </c>
      <c r="C55" s="1171">
        <f>C54</f>
        <v>-7746</v>
      </c>
      <c r="D55" s="1155">
        <f>D54</f>
        <v>-1219427</v>
      </c>
      <c r="E55" s="1155"/>
      <c r="F55" s="1149">
        <f t="shared" si="0"/>
        <v>-2779466</v>
      </c>
    </row>
    <row r="56" spans="1:6" ht="57.75" customHeight="1" x14ac:dyDescent="0.2">
      <c r="A56" s="1161" t="s">
        <v>483</v>
      </c>
      <c r="B56" s="1155">
        <v>0</v>
      </c>
      <c r="C56" s="1171">
        <v>0</v>
      </c>
      <c r="D56" s="1155">
        <v>0</v>
      </c>
      <c r="E56" s="1155">
        <v>0</v>
      </c>
      <c r="F56" s="1149">
        <f t="shared" si="0"/>
        <v>0</v>
      </c>
    </row>
    <row r="57" spans="1:6" ht="55.5" customHeight="1" x14ac:dyDescent="0.2">
      <c r="A57" s="1168" t="s">
        <v>484</v>
      </c>
      <c r="B57" s="1155">
        <f>B56</f>
        <v>0</v>
      </c>
      <c r="C57" s="1171">
        <f>C56</f>
        <v>0</v>
      </c>
      <c r="D57" s="1155">
        <f>D56</f>
        <v>0</v>
      </c>
      <c r="E57" s="1155"/>
      <c r="F57" s="1149">
        <f t="shared" si="0"/>
        <v>0</v>
      </c>
    </row>
    <row r="58" spans="1:6" ht="47.25" customHeight="1" x14ac:dyDescent="0.2">
      <c r="A58" s="1166" t="s">
        <v>485</v>
      </c>
      <c r="B58" s="1167">
        <f>B53+B55+B57</f>
        <v>-797265</v>
      </c>
      <c r="C58" s="1178">
        <f>C53+C55+C57</f>
        <v>-7746</v>
      </c>
      <c r="D58" s="1167">
        <f>D53+D55+D57</f>
        <v>-68880</v>
      </c>
      <c r="E58" s="1167">
        <f>E56</f>
        <v>0</v>
      </c>
      <c r="F58" s="1165">
        <f t="shared" si="0"/>
        <v>-873891</v>
      </c>
    </row>
    <row r="59" spans="1:6" ht="45.75" customHeight="1" x14ac:dyDescent="0.2">
      <c r="A59" s="1161" t="s">
        <v>486</v>
      </c>
      <c r="B59" s="1155"/>
      <c r="C59" s="1171"/>
      <c r="D59" s="1155">
        <v>0</v>
      </c>
      <c r="E59" s="1155"/>
      <c r="F59" s="1149">
        <f t="shared" si="0"/>
        <v>0</v>
      </c>
    </row>
    <row r="60" spans="1:6" ht="47.25" customHeight="1" x14ac:dyDescent="0.2">
      <c r="A60" s="1179" t="s">
        <v>487</v>
      </c>
      <c r="B60" s="1167">
        <f>B59</f>
        <v>0</v>
      </c>
      <c r="C60" s="1178">
        <f>C59</f>
        <v>0</v>
      </c>
      <c r="D60" s="1167">
        <f>D59</f>
        <v>0</v>
      </c>
      <c r="E60" s="1167">
        <f>E59</f>
        <v>0</v>
      </c>
      <c r="F60" s="1165">
        <f t="shared" si="0"/>
        <v>0</v>
      </c>
    </row>
    <row r="61" spans="1:6" ht="39.75" customHeight="1" x14ac:dyDescent="0.2">
      <c r="A61" s="1180" t="s">
        <v>488</v>
      </c>
      <c r="B61" s="1181">
        <f>B17+B20+B25+B51+B58+B60</f>
        <v>2716419248</v>
      </c>
      <c r="C61" s="1182">
        <f>C60+C58+C51+C25+C20+C17</f>
        <v>505037</v>
      </c>
      <c r="D61" s="1181">
        <f>D60+D58+D51+D25+D20+D17</f>
        <v>76444</v>
      </c>
      <c r="E61" s="1181">
        <f>E60+E58+E51+E25+E20+E17</f>
        <v>135078</v>
      </c>
      <c r="F61" s="1183">
        <f t="shared" si="0"/>
        <v>2717135807</v>
      </c>
    </row>
    <row r="62" spans="1:6" ht="42" customHeight="1" x14ac:dyDescent="0.2">
      <c r="A62" s="1161" t="s">
        <v>489</v>
      </c>
      <c r="B62" s="1155">
        <v>2304248651</v>
      </c>
      <c r="C62" s="1171">
        <f>'[3]12 A'!$C$23</f>
        <v>173101</v>
      </c>
      <c r="D62" s="1155">
        <f>'[4]12 A'!$C$25</f>
        <v>14348196</v>
      </c>
      <c r="E62" s="1155">
        <f>'[5]12 A'!$C$13</f>
        <v>3895</v>
      </c>
      <c r="F62" s="1149">
        <f t="shared" si="0"/>
        <v>2318773843</v>
      </c>
    </row>
    <row r="63" spans="1:6" ht="36.75" customHeight="1" x14ac:dyDescent="0.2">
      <c r="A63" s="1161" t="s">
        <v>490</v>
      </c>
      <c r="B63" s="1155">
        <v>793881982</v>
      </c>
      <c r="C63" s="1171"/>
      <c r="D63" s="1155"/>
      <c r="E63" s="1155"/>
      <c r="F63" s="1149">
        <f t="shared" si="0"/>
        <v>793881982</v>
      </c>
    </row>
    <row r="64" spans="1:6" ht="62.25" customHeight="1" x14ac:dyDescent="0.2">
      <c r="A64" s="1169" t="s">
        <v>491</v>
      </c>
      <c r="B64" s="1155">
        <v>17253816</v>
      </c>
      <c r="C64" s="1171">
        <f>'[3]12 A'!$C$24</f>
        <v>350202</v>
      </c>
      <c r="D64" s="1155">
        <f>'[4]12 A'!$C$26</f>
        <v>271730</v>
      </c>
      <c r="E64" s="1155">
        <f>'[5]12 A'!$C$14</f>
        <v>82388</v>
      </c>
      <c r="F64" s="1149">
        <f t="shared" si="0"/>
        <v>17958136</v>
      </c>
    </row>
    <row r="65" spans="1:6" ht="86.25" customHeight="1" x14ac:dyDescent="0.2">
      <c r="A65" s="1163" t="s">
        <v>492</v>
      </c>
      <c r="B65" s="1167">
        <f>B64</f>
        <v>17253816</v>
      </c>
      <c r="C65" s="1178">
        <f>C64</f>
        <v>350202</v>
      </c>
      <c r="D65" s="1167">
        <f>D64</f>
        <v>271730</v>
      </c>
      <c r="E65" s="1167">
        <f>E64</f>
        <v>82388</v>
      </c>
      <c r="F65" s="1165">
        <f t="shared" si="0"/>
        <v>17958136</v>
      </c>
    </row>
    <row r="66" spans="1:6" ht="39.75" customHeight="1" x14ac:dyDescent="0.2">
      <c r="A66" s="1156" t="s">
        <v>493</v>
      </c>
      <c r="B66" s="1155">
        <v>-1023076295</v>
      </c>
      <c r="C66" s="1171">
        <v>-466604</v>
      </c>
      <c r="D66" s="1155">
        <v>-15209463</v>
      </c>
      <c r="E66" s="1155">
        <v>2565580</v>
      </c>
      <c r="F66" s="1149">
        <f t="shared" si="0"/>
        <v>-1036186782</v>
      </c>
    </row>
    <row r="67" spans="1:6" ht="33.75" customHeight="1" x14ac:dyDescent="0.2">
      <c r="A67" s="1156" t="s">
        <v>494</v>
      </c>
      <c r="B67" s="1155">
        <v>-13167410</v>
      </c>
      <c r="C67" s="1171">
        <v>-1760210</v>
      </c>
      <c r="D67" s="1155">
        <v>-1219174</v>
      </c>
      <c r="E67" s="1155">
        <v>-5688146</v>
      </c>
      <c r="F67" s="1149">
        <f t="shared" si="0"/>
        <v>-21834940</v>
      </c>
    </row>
    <row r="68" spans="1:6" ht="36.75" customHeight="1" x14ac:dyDescent="0.2">
      <c r="A68" s="1163" t="s">
        <v>495</v>
      </c>
      <c r="B68" s="1167">
        <f>B62+B63+B65+B66+B67</f>
        <v>2079140744</v>
      </c>
      <c r="C68" s="1178">
        <f>C62+C65+C67+C66</f>
        <v>-1703511</v>
      </c>
      <c r="D68" s="1167">
        <f>D62+D63+D65+D66+D67</f>
        <v>-1808711</v>
      </c>
      <c r="E68" s="1167">
        <f>E62+E63+E65+E66+E67</f>
        <v>-3036283</v>
      </c>
      <c r="F68" s="1165">
        <f t="shared" si="0"/>
        <v>2072592239</v>
      </c>
    </row>
    <row r="69" spans="1:6" ht="63.75" customHeight="1" x14ac:dyDescent="0.2">
      <c r="A69" s="1156" t="s">
        <v>513</v>
      </c>
      <c r="B69" s="1155"/>
      <c r="C69" s="1171">
        <v>10001</v>
      </c>
      <c r="D69" s="1155"/>
      <c r="E69" s="1155"/>
      <c r="F69" s="1149">
        <f t="shared" si="0"/>
        <v>10001</v>
      </c>
    </row>
    <row r="70" spans="1:6" ht="61.5" customHeight="1" x14ac:dyDescent="0.2">
      <c r="A70" s="1161" t="s">
        <v>496</v>
      </c>
      <c r="B70" s="1155">
        <v>3258378</v>
      </c>
      <c r="C70" s="1171">
        <v>34458</v>
      </c>
      <c r="D70" s="1155">
        <v>0</v>
      </c>
      <c r="E70" s="1155"/>
      <c r="F70" s="1149">
        <f t="shared" si="0"/>
        <v>3292836</v>
      </c>
    </row>
    <row r="71" spans="1:6" ht="54" customHeight="1" x14ac:dyDescent="0.2">
      <c r="A71" s="1161" t="s">
        <v>497</v>
      </c>
      <c r="B71" s="1155">
        <v>5548096</v>
      </c>
      <c r="C71" s="1171"/>
      <c r="D71" s="1155"/>
      <c r="E71" s="1155"/>
      <c r="F71" s="1149">
        <f t="shared" si="0"/>
        <v>5548096</v>
      </c>
    </row>
    <row r="72" spans="1:6" ht="57.75" customHeight="1" x14ac:dyDescent="0.2">
      <c r="A72" s="1162" t="s">
        <v>498</v>
      </c>
      <c r="B72" s="1155">
        <f>B70+B71</f>
        <v>8806474</v>
      </c>
      <c r="C72" s="1171">
        <f>C70+C69</f>
        <v>44459</v>
      </c>
      <c r="D72" s="1155">
        <v>0</v>
      </c>
      <c r="E72" s="1155">
        <f>E70+E71</f>
        <v>0</v>
      </c>
      <c r="F72" s="1149">
        <f t="shared" si="0"/>
        <v>8850933</v>
      </c>
    </row>
    <row r="73" spans="1:6" ht="67.5" customHeight="1" x14ac:dyDescent="0.2">
      <c r="A73" s="1156" t="s">
        <v>499</v>
      </c>
      <c r="B73" s="1152">
        <v>0</v>
      </c>
      <c r="C73" s="1151">
        <v>0</v>
      </c>
      <c r="D73" s="1152">
        <v>512640</v>
      </c>
      <c r="E73" s="1152">
        <f>SUM(E74)</f>
        <v>0</v>
      </c>
      <c r="F73" s="1149">
        <f t="shared" si="0"/>
        <v>512640</v>
      </c>
    </row>
    <row r="74" spans="1:6" ht="102.75" customHeight="1" x14ac:dyDescent="0.2">
      <c r="A74" s="1156" t="s">
        <v>500</v>
      </c>
      <c r="B74" s="1155"/>
      <c r="C74" s="1171">
        <v>0</v>
      </c>
      <c r="D74" s="1155">
        <v>0</v>
      </c>
      <c r="E74" s="1155">
        <v>0</v>
      </c>
      <c r="F74" s="1149">
        <f t="shared" ref="F74:F85" si="2">SUM(B74:E74)</f>
        <v>0</v>
      </c>
    </row>
    <row r="75" spans="1:6" ht="101.25" customHeight="1" x14ac:dyDescent="0.2">
      <c r="A75" s="1156" t="s">
        <v>501</v>
      </c>
      <c r="B75" s="1152">
        <v>6484529</v>
      </c>
      <c r="C75" s="1151">
        <f>SUM(C76:C78)</f>
        <v>0</v>
      </c>
      <c r="D75" s="1152"/>
      <c r="E75" s="1152">
        <f>SUM(E76:E78)</f>
        <v>0</v>
      </c>
      <c r="F75" s="1149">
        <f t="shared" si="2"/>
        <v>6484529</v>
      </c>
    </row>
    <row r="76" spans="1:6" ht="78.75" x14ac:dyDescent="0.2">
      <c r="A76" s="1156" t="s">
        <v>502</v>
      </c>
      <c r="B76" s="1155">
        <v>6484529</v>
      </c>
      <c r="C76" s="1171"/>
      <c r="D76" s="1155"/>
      <c r="E76" s="1155"/>
      <c r="F76" s="1149">
        <f t="shared" si="2"/>
        <v>6484529</v>
      </c>
    </row>
    <row r="77" spans="1:6" ht="89.25" customHeight="1" x14ac:dyDescent="0.2">
      <c r="A77" s="1168" t="s">
        <v>503</v>
      </c>
      <c r="B77" s="1155">
        <f>B73+B74+B75</f>
        <v>6484529</v>
      </c>
      <c r="C77" s="1171">
        <v>0</v>
      </c>
      <c r="D77" s="1155">
        <f>D73</f>
        <v>512640</v>
      </c>
      <c r="E77" s="1155"/>
      <c r="F77" s="1149">
        <f t="shared" si="2"/>
        <v>6997169</v>
      </c>
    </row>
    <row r="78" spans="1:6" x14ac:dyDescent="0.2">
      <c r="A78" s="1161" t="s">
        <v>504</v>
      </c>
      <c r="B78" s="1155">
        <v>3024644</v>
      </c>
      <c r="C78" s="1171"/>
      <c r="D78" s="1155">
        <v>0</v>
      </c>
      <c r="E78" s="1155"/>
      <c r="F78" s="1149">
        <f t="shared" si="2"/>
        <v>3024644</v>
      </c>
    </row>
    <row r="79" spans="1:6" ht="63.75" customHeight="1" x14ac:dyDescent="0.2">
      <c r="A79" s="1161" t="s">
        <v>505</v>
      </c>
      <c r="B79" s="1184">
        <v>0</v>
      </c>
      <c r="C79" s="1185"/>
      <c r="D79" s="1184">
        <v>0</v>
      </c>
      <c r="E79" s="1184">
        <v>0</v>
      </c>
      <c r="F79" s="1149">
        <f t="shared" si="2"/>
        <v>0</v>
      </c>
    </row>
    <row r="80" spans="1:6" ht="68.25" customHeight="1" x14ac:dyDescent="0.2">
      <c r="A80" s="1160" t="s">
        <v>506</v>
      </c>
      <c r="B80" s="1186">
        <f>B78+B79</f>
        <v>3024644</v>
      </c>
      <c r="C80" s="1187">
        <f>C78+C79</f>
        <v>0</v>
      </c>
      <c r="D80" s="1188">
        <f>D78+D79</f>
        <v>0</v>
      </c>
      <c r="E80" s="1152">
        <f>E78+E79</f>
        <v>0</v>
      </c>
      <c r="F80" s="1149">
        <f t="shared" si="2"/>
        <v>3024644</v>
      </c>
    </row>
    <row r="81" spans="1:6" ht="44.25" customHeight="1" x14ac:dyDescent="0.2">
      <c r="A81" s="1163" t="s">
        <v>507</v>
      </c>
      <c r="B81" s="1189">
        <f>B80+B77+B72</f>
        <v>18315647</v>
      </c>
      <c r="C81" s="1190">
        <f>C72+C77+C80</f>
        <v>44459</v>
      </c>
      <c r="D81" s="1189">
        <f>D72+D77+D80</f>
        <v>512640</v>
      </c>
      <c r="E81" s="1189">
        <f>SUM(E72+E77+E80)</f>
        <v>0</v>
      </c>
      <c r="F81" s="1149">
        <f t="shared" si="2"/>
        <v>18872746</v>
      </c>
    </row>
    <row r="82" spans="1:6" ht="41.25" customHeight="1" x14ac:dyDescent="0.2">
      <c r="A82" s="1161" t="s">
        <v>508</v>
      </c>
      <c r="B82" s="1191">
        <v>6266147</v>
      </c>
      <c r="C82" s="1192">
        <v>2146089</v>
      </c>
      <c r="D82" s="1191">
        <v>1372515</v>
      </c>
      <c r="E82" s="1191">
        <v>3171361</v>
      </c>
      <c r="F82" s="1149">
        <f t="shared" si="2"/>
        <v>12956112</v>
      </c>
    </row>
    <row r="83" spans="1:6" ht="40.5" customHeight="1" x14ac:dyDescent="0.2">
      <c r="A83" s="1161" t="s">
        <v>509</v>
      </c>
      <c r="B83" s="1191">
        <v>612696710</v>
      </c>
      <c r="C83" s="1192">
        <v>0</v>
      </c>
      <c r="D83" s="1191">
        <v>0</v>
      </c>
      <c r="E83" s="1191"/>
      <c r="F83" s="1149">
        <f t="shared" si="2"/>
        <v>612696710</v>
      </c>
    </row>
    <row r="84" spans="1:6" ht="54.75" customHeight="1" x14ac:dyDescent="0.2">
      <c r="A84" s="1166" t="s">
        <v>510</v>
      </c>
      <c r="B84" s="1193">
        <f>B82+B83</f>
        <v>618962857</v>
      </c>
      <c r="C84" s="1194">
        <f>C82+C83</f>
        <v>2146089</v>
      </c>
      <c r="D84" s="1193">
        <f>D82+0</f>
        <v>1372515</v>
      </c>
      <c r="E84" s="1193">
        <f>E82+E83</f>
        <v>3171361</v>
      </c>
      <c r="F84" s="1165">
        <f t="shared" si="2"/>
        <v>625652822</v>
      </c>
    </row>
    <row r="85" spans="1:6" ht="21" x14ac:dyDescent="0.2">
      <c r="A85" s="1195" t="s">
        <v>511</v>
      </c>
      <c r="B85" s="1196">
        <f>B84+B81+B68</f>
        <v>2716419248</v>
      </c>
      <c r="C85" s="1196">
        <f>-1703511+44459+2164089</f>
        <v>505037</v>
      </c>
      <c r="D85" s="1196">
        <f>D84+D81+D68</f>
        <v>76444</v>
      </c>
      <c r="E85" s="1196">
        <f>E84+E81+E68</f>
        <v>135078</v>
      </c>
      <c r="F85" s="1183">
        <f t="shared" si="2"/>
        <v>2717135807</v>
      </c>
    </row>
    <row r="86" spans="1:6" x14ac:dyDescent="0.2">
      <c r="A86" s="24"/>
      <c r="B86" s="24"/>
      <c r="C86" s="24"/>
      <c r="D86" s="24"/>
      <c r="E86" s="24"/>
      <c r="F86" s="24"/>
    </row>
  </sheetData>
  <mergeCells count="7">
    <mergeCell ref="C4:C7"/>
    <mergeCell ref="D4:D7"/>
    <mergeCell ref="E4:E7"/>
    <mergeCell ref="F4:F7"/>
    <mergeCell ref="A2:F2"/>
    <mergeCell ref="A4:A7"/>
    <mergeCell ref="B4:B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91"/>
  <sheetViews>
    <sheetView workbookViewId="0">
      <selection activeCell="A3" sqref="A3:F91"/>
    </sheetView>
  </sheetViews>
  <sheetFormatPr defaultRowHeight="0" customHeight="1" zeroHeight="1" x14ac:dyDescent="0.2"/>
  <cols>
    <col min="1" max="1" width="22.28515625" style="130" customWidth="1"/>
    <col min="2" max="2" width="19.28515625" style="130" customWidth="1"/>
    <col min="3" max="3" width="15.85546875" style="130" customWidth="1"/>
    <col min="4" max="4" width="17.7109375" style="130" customWidth="1"/>
    <col min="5" max="5" width="14.28515625" style="130" customWidth="1"/>
    <col min="6" max="6" width="17.7109375" style="130" customWidth="1"/>
    <col min="9" max="9" width="13.42578125" customWidth="1"/>
  </cols>
  <sheetData>
    <row r="1" spans="1:6" ht="12.75" x14ac:dyDescent="0.2">
      <c r="A1" s="1838"/>
      <c r="B1" s="1838"/>
      <c r="C1" s="1838"/>
      <c r="D1" s="1838"/>
      <c r="E1" s="1838"/>
      <c r="F1" s="1838"/>
    </row>
    <row r="2" spans="1:6" ht="64.5" customHeight="1" x14ac:dyDescent="0.2">
      <c r="A2" s="631"/>
      <c r="B2" s="629"/>
      <c r="C2" s="632"/>
      <c r="D2" s="629"/>
      <c r="E2" s="629"/>
      <c r="F2" s="630" t="s">
        <v>357</v>
      </c>
    </row>
    <row r="3" spans="1:6" ht="12.75" x14ac:dyDescent="0.2">
      <c r="A3" s="1839" t="s">
        <v>512</v>
      </c>
      <c r="B3" s="1840" t="s">
        <v>212</v>
      </c>
      <c r="C3" s="1840" t="s">
        <v>211</v>
      </c>
      <c r="D3" s="1840" t="s">
        <v>191</v>
      </c>
      <c r="E3" s="1840" t="s">
        <v>192</v>
      </c>
      <c r="F3" s="1843" t="s">
        <v>16</v>
      </c>
    </row>
    <row r="4" spans="1:6" ht="12.75" x14ac:dyDescent="0.2">
      <c r="A4" s="1839"/>
      <c r="B4" s="1841"/>
      <c r="C4" s="1841"/>
      <c r="D4" s="1841"/>
      <c r="E4" s="1841"/>
      <c r="F4" s="1843"/>
    </row>
    <row r="5" spans="1:6" ht="12.75" x14ac:dyDescent="0.2">
      <c r="A5" s="1839"/>
      <c r="B5" s="1841"/>
      <c r="C5" s="1841"/>
      <c r="D5" s="1841"/>
      <c r="E5" s="1841"/>
      <c r="F5" s="1843"/>
    </row>
    <row r="6" spans="1:6" ht="12.75" x14ac:dyDescent="0.2">
      <c r="A6" s="1839"/>
      <c r="B6" s="1842"/>
      <c r="C6" s="1842"/>
      <c r="D6" s="1842"/>
      <c r="E6" s="1842"/>
      <c r="F6" s="1843"/>
    </row>
    <row r="7" spans="1:6" s="130" customFormat="1" ht="14.25" x14ac:dyDescent="0.2">
      <c r="A7" s="1205" t="s">
        <v>671</v>
      </c>
      <c r="B7" s="1206"/>
      <c r="C7" s="1206">
        <v>383413</v>
      </c>
      <c r="D7" s="1206"/>
      <c r="E7" s="1206"/>
      <c r="F7" s="1207"/>
    </row>
    <row r="8" spans="1:6" ht="24" customHeight="1" x14ac:dyDescent="0.2">
      <c r="A8" s="1208" t="s">
        <v>435</v>
      </c>
      <c r="B8" s="1209">
        <v>2370199</v>
      </c>
      <c r="C8" s="1209">
        <v>0</v>
      </c>
      <c r="D8" s="1210"/>
      <c r="E8" s="1210"/>
      <c r="F8" s="1211">
        <f>SUM(B8:E8)</f>
        <v>2370199</v>
      </c>
    </row>
    <row r="9" spans="1:6" ht="25.5" x14ac:dyDescent="0.2">
      <c r="A9" s="1212" t="s">
        <v>436</v>
      </c>
      <c r="B9" s="1213">
        <f>B8+B7</f>
        <v>2370199</v>
      </c>
      <c r="C9" s="1213">
        <f t="shared" ref="C9:E9" si="0">C8+C7</f>
        <v>383413</v>
      </c>
      <c r="D9" s="1213">
        <f t="shared" si="0"/>
        <v>0</v>
      </c>
      <c r="E9" s="1213">
        <f t="shared" si="0"/>
        <v>0</v>
      </c>
      <c r="F9" s="1211">
        <f t="shared" ref="F9:F79" si="1">SUM(B9:E9)</f>
        <v>2753612</v>
      </c>
    </row>
    <row r="10" spans="1:6" ht="38.25" x14ac:dyDescent="0.2">
      <c r="A10" s="1214" t="s">
        <v>437</v>
      </c>
      <c r="B10" s="1215">
        <v>2572103382</v>
      </c>
      <c r="C10" s="1216"/>
      <c r="D10" s="1216"/>
      <c r="E10" s="1216"/>
      <c r="F10" s="1211">
        <f>SUM(B10:E10)</f>
        <v>2572103382</v>
      </c>
    </row>
    <row r="11" spans="1:6" ht="38.25" x14ac:dyDescent="0.2">
      <c r="A11" s="1217" t="s">
        <v>438</v>
      </c>
      <c r="B11" s="1218">
        <v>33950781</v>
      </c>
      <c r="C11" s="1216">
        <v>286064</v>
      </c>
      <c r="D11" s="1216"/>
      <c r="E11" s="1216"/>
      <c r="F11" s="1211">
        <f>SUM(B11:E11)</f>
        <v>34236845</v>
      </c>
    </row>
    <row r="12" spans="1:6" ht="25.5" x14ac:dyDescent="0.2">
      <c r="A12" s="1217" t="s">
        <v>439</v>
      </c>
      <c r="B12" s="1219">
        <v>9047292</v>
      </c>
      <c r="C12" s="1220"/>
      <c r="D12" s="1216"/>
      <c r="E12" s="1216"/>
      <c r="F12" s="1211">
        <f>SUM(B12:E12)</f>
        <v>9047292</v>
      </c>
    </row>
    <row r="13" spans="1:6" ht="25.5" x14ac:dyDescent="0.2">
      <c r="A13" s="1221" t="s">
        <v>440</v>
      </c>
      <c r="B13" s="1213">
        <f>B10+B11+B12</f>
        <v>2615101455</v>
      </c>
      <c r="C13" s="1222">
        <f>C10+C11+C12</f>
        <v>286064</v>
      </c>
      <c r="D13" s="1222">
        <f>D10+D11+D12</f>
        <v>0</v>
      </c>
      <c r="E13" s="1222">
        <f>E10+E11+E12</f>
        <v>0</v>
      </c>
      <c r="F13" s="1211">
        <f t="shared" si="1"/>
        <v>2615387519</v>
      </c>
    </row>
    <row r="14" spans="1:6" ht="38.25" x14ac:dyDescent="0.2">
      <c r="A14" s="1223" t="s">
        <v>441</v>
      </c>
      <c r="B14" s="1216">
        <v>2337000</v>
      </c>
      <c r="C14" s="1216"/>
      <c r="D14" s="1216"/>
      <c r="E14" s="1216"/>
      <c r="F14" s="1211">
        <f t="shared" si="1"/>
        <v>2337000</v>
      </c>
    </row>
    <row r="15" spans="1:6" ht="25.5" x14ac:dyDescent="0.2">
      <c r="A15" s="1223" t="s">
        <v>442</v>
      </c>
      <c r="B15" s="1216">
        <v>2337000</v>
      </c>
      <c r="C15" s="1216"/>
      <c r="D15" s="1216"/>
      <c r="E15" s="1216"/>
      <c r="F15" s="1211">
        <f t="shared" si="1"/>
        <v>2337000</v>
      </c>
    </row>
    <row r="16" spans="1:6" ht="38.25" x14ac:dyDescent="0.2">
      <c r="A16" s="1224" t="s">
        <v>443</v>
      </c>
      <c r="B16" s="1216">
        <f>B14</f>
        <v>2337000</v>
      </c>
      <c r="C16" s="1216"/>
      <c r="D16" s="1216"/>
      <c r="E16" s="1216"/>
      <c r="F16" s="1211">
        <f t="shared" si="1"/>
        <v>2337000</v>
      </c>
    </row>
    <row r="17" spans="1:6" ht="63.75" x14ac:dyDescent="0.2">
      <c r="A17" s="1225" t="s">
        <v>444</v>
      </c>
      <c r="B17" s="1226">
        <f>SUM(B9+B13+B16)</f>
        <v>2619808654</v>
      </c>
      <c r="C17" s="1226">
        <f>SUM(C9+C13+C16)</f>
        <v>669477</v>
      </c>
      <c r="D17" s="1226">
        <f>SUM(D9+D13+D16)</f>
        <v>0</v>
      </c>
      <c r="E17" s="1226">
        <f>SUM(E9+E13+E16)</f>
        <v>0</v>
      </c>
      <c r="F17" s="1227">
        <f t="shared" si="1"/>
        <v>2620478131</v>
      </c>
    </row>
    <row r="18" spans="1:6" ht="12.75" x14ac:dyDescent="0.2">
      <c r="A18" s="1217" t="s">
        <v>445</v>
      </c>
      <c r="B18" s="1216">
        <v>0</v>
      </c>
      <c r="C18" s="1216">
        <v>0</v>
      </c>
      <c r="D18" s="1216">
        <v>907924</v>
      </c>
      <c r="E18" s="1216"/>
      <c r="F18" s="1211">
        <f t="shared" si="1"/>
        <v>907924</v>
      </c>
    </row>
    <row r="19" spans="1:6" ht="25.5" x14ac:dyDescent="0.2">
      <c r="A19" s="1228" t="s">
        <v>446</v>
      </c>
      <c r="B19" s="1216">
        <f>B18</f>
        <v>0</v>
      </c>
      <c r="C19" s="1216">
        <f t="shared" ref="C19:E20" si="2">C18</f>
        <v>0</v>
      </c>
      <c r="D19" s="1216">
        <f t="shared" si="2"/>
        <v>907924</v>
      </c>
      <c r="E19" s="1216">
        <f t="shared" si="2"/>
        <v>0</v>
      </c>
      <c r="F19" s="1211">
        <f t="shared" si="1"/>
        <v>907924</v>
      </c>
    </row>
    <row r="20" spans="1:6" ht="51" x14ac:dyDescent="0.2">
      <c r="A20" s="1229" t="s">
        <v>447</v>
      </c>
      <c r="B20" s="1230">
        <f>B19</f>
        <v>0</v>
      </c>
      <c r="C20" s="1230">
        <f t="shared" si="2"/>
        <v>0</v>
      </c>
      <c r="D20" s="1230">
        <f t="shared" si="2"/>
        <v>907924</v>
      </c>
      <c r="E20" s="1230">
        <f t="shared" si="2"/>
        <v>0</v>
      </c>
      <c r="F20" s="1227">
        <f t="shared" si="1"/>
        <v>907924</v>
      </c>
    </row>
    <row r="21" spans="1:6" ht="12.75" x14ac:dyDescent="0.2">
      <c r="A21" s="1223" t="s">
        <v>448</v>
      </c>
      <c r="B21" s="1216">
        <v>107385</v>
      </c>
      <c r="C21" s="1216">
        <v>32255</v>
      </c>
      <c r="D21" s="1216">
        <v>14010</v>
      </c>
      <c r="E21" s="1216">
        <v>31130</v>
      </c>
      <c r="F21" s="1211">
        <f t="shared" si="1"/>
        <v>184780</v>
      </c>
    </row>
    <row r="22" spans="1:6" ht="38.25" x14ac:dyDescent="0.2">
      <c r="A22" s="1231" t="s">
        <v>449</v>
      </c>
      <c r="B22" s="1216">
        <f>B21</f>
        <v>107385</v>
      </c>
      <c r="C22" s="1216">
        <f>C21</f>
        <v>32255</v>
      </c>
      <c r="D22" s="1216">
        <f>D21</f>
        <v>14010</v>
      </c>
      <c r="E22" s="1216">
        <f>E21</f>
        <v>31130</v>
      </c>
      <c r="F22" s="1211">
        <f t="shared" si="1"/>
        <v>184780</v>
      </c>
    </row>
    <row r="23" spans="1:6" ht="25.5" x14ac:dyDescent="0.2">
      <c r="A23" s="1208" t="s">
        <v>450</v>
      </c>
      <c r="B23" s="1232">
        <v>54308752</v>
      </c>
      <c r="C23" s="1233">
        <v>148748</v>
      </c>
      <c r="D23" s="1216">
        <v>0</v>
      </c>
      <c r="E23" s="1216">
        <v>8933</v>
      </c>
      <c r="F23" s="1211">
        <f t="shared" si="1"/>
        <v>54466433</v>
      </c>
    </row>
    <row r="24" spans="1:6" s="130" customFormat="1" ht="25.5" x14ac:dyDescent="0.2">
      <c r="A24" s="1234" t="s">
        <v>665</v>
      </c>
      <c r="B24" s="1232">
        <v>148826757</v>
      </c>
      <c r="C24" s="1233"/>
      <c r="D24" s="1216"/>
      <c r="E24" s="1216"/>
      <c r="F24" s="1211"/>
    </row>
    <row r="25" spans="1:6" ht="25.5" x14ac:dyDescent="0.2">
      <c r="A25" s="1228" t="s">
        <v>451</v>
      </c>
      <c r="B25" s="1216">
        <f>B23+B24</f>
        <v>203135509</v>
      </c>
      <c r="C25" s="1233">
        <f>C23</f>
        <v>148748</v>
      </c>
      <c r="D25" s="1216">
        <f>D23</f>
        <v>0</v>
      </c>
      <c r="E25" s="1216">
        <f>E23</f>
        <v>8933</v>
      </c>
      <c r="F25" s="1211">
        <f t="shared" si="1"/>
        <v>203293190</v>
      </c>
    </row>
    <row r="26" spans="1:6" ht="25.5" x14ac:dyDescent="0.2">
      <c r="A26" s="1225" t="s">
        <v>452</v>
      </c>
      <c r="B26" s="1226">
        <f>B25+B22</f>
        <v>203242894</v>
      </c>
      <c r="C26" s="1235">
        <f>C25+C22</f>
        <v>181003</v>
      </c>
      <c r="D26" s="1226">
        <f>D25+D22</f>
        <v>14010</v>
      </c>
      <c r="E26" s="1226">
        <f>E25+E22</f>
        <v>40063</v>
      </c>
      <c r="F26" s="1227">
        <f t="shared" si="1"/>
        <v>203477970</v>
      </c>
    </row>
    <row r="27" spans="1:6" ht="51" x14ac:dyDescent="0.2">
      <c r="A27" s="1236" t="s">
        <v>453</v>
      </c>
      <c r="B27" s="1237">
        <f>B28+B29+B30</f>
        <v>5809343</v>
      </c>
      <c r="C27" s="1237">
        <f t="shared" ref="C27:E27" si="3">C28+C29+C30</f>
        <v>0</v>
      </c>
      <c r="D27" s="1237">
        <f t="shared" si="3"/>
        <v>0</v>
      </c>
      <c r="E27" s="1237">
        <f t="shared" si="3"/>
        <v>0</v>
      </c>
      <c r="F27" s="1211">
        <f t="shared" si="1"/>
        <v>5809343</v>
      </c>
    </row>
    <row r="28" spans="1:6" ht="51" x14ac:dyDescent="0.2">
      <c r="A28" s="1238" t="s">
        <v>454</v>
      </c>
      <c r="B28" s="1215">
        <v>284098</v>
      </c>
      <c r="C28" s="1233">
        <f>SUM(C29:C33)</f>
        <v>0</v>
      </c>
      <c r="D28" s="1216"/>
      <c r="E28" s="1216"/>
      <c r="F28" s="1211">
        <f t="shared" si="1"/>
        <v>284098</v>
      </c>
    </row>
    <row r="29" spans="1:6" ht="63.75" x14ac:dyDescent="0.2">
      <c r="A29" s="1234" t="s">
        <v>455</v>
      </c>
      <c r="B29" s="1239">
        <v>5011793</v>
      </c>
      <c r="C29" s="1233">
        <v>0</v>
      </c>
      <c r="D29" s="1216"/>
      <c r="E29" s="1216"/>
      <c r="F29" s="1211">
        <f t="shared" si="1"/>
        <v>5011793</v>
      </c>
    </row>
    <row r="30" spans="1:6" ht="63.75" x14ac:dyDescent="0.2">
      <c r="A30" s="1217" t="s">
        <v>456</v>
      </c>
      <c r="B30" s="1215">
        <v>513452</v>
      </c>
      <c r="C30" s="1233"/>
      <c r="D30" s="1216"/>
      <c r="E30" s="1216"/>
      <c r="F30" s="1211">
        <f t="shared" si="1"/>
        <v>513452</v>
      </c>
    </row>
    <row r="31" spans="1:6" ht="51" x14ac:dyDescent="0.2">
      <c r="A31" s="1231" t="s">
        <v>457</v>
      </c>
      <c r="B31" s="1237">
        <f>B32+B33+B34+B35+B36</f>
        <v>6171625</v>
      </c>
      <c r="C31" s="1237">
        <f t="shared" ref="C31" si="4">C32+C33+C34+C35+C36</f>
        <v>0</v>
      </c>
      <c r="D31" s="1237">
        <v>148428</v>
      </c>
      <c r="E31" s="1237">
        <f>E32+E33+E34+E35+E36</f>
        <v>0</v>
      </c>
      <c r="F31" s="1211">
        <f t="shared" si="1"/>
        <v>6320053</v>
      </c>
    </row>
    <row r="32" spans="1:6" ht="102" x14ac:dyDescent="0.2">
      <c r="A32" s="1223" t="s">
        <v>458</v>
      </c>
      <c r="B32" s="1215">
        <v>5128382</v>
      </c>
      <c r="C32" s="1233">
        <v>0</v>
      </c>
      <c r="D32" s="1216">
        <v>13530</v>
      </c>
      <c r="E32" s="1216"/>
      <c r="F32" s="1211">
        <f t="shared" si="1"/>
        <v>5141912</v>
      </c>
    </row>
    <row r="33" spans="1:6" ht="51" x14ac:dyDescent="0.2">
      <c r="A33" s="1223" t="s">
        <v>459</v>
      </c>
      <c r="B33" s="1239">
        <v>0</v>
      </c>
      <c r="C33" s="1233"/>
      <c r="D33" s="1216">
        <v>103344</v>
      </c>
      <c r="E33" s="1216"/>
      <c r="F33" s="1211">
        <f t="shared" si="1"/>
        <v>103344</v>
      </c>
    </row>
    <row r="34" spans="1:6" ht="63.75" x14ac:dyDescent="0.2">
      <c r="A34" s="1234" t="s">
        <v>460</v>
      </c>
      <c r="B34" s="1232">
        <v>796202</v>
      </c>
      <c r="C34" s="1240">
        <f>C36+C35</f>
        <v>0</v>
      </c>
      <c r="D34" s="1209">
        <v>31554</v>
      </c>
      <c r="E34" s="1209"/>
      <c r="F34" s="1211">
        <f t="shared" si="1"/>
        <v>827756</v>
      </c>
    </row>
    <row r="35" spans="1:6" ht="63.75" x14ac:dyDescent="0.2">
      <c r="A35" s="1223" t="s">
        <v>461</v>
      </c>
      <c r="B35" s="1232">
        <v>110000</v>
      </c>
      <c r="C35" s="1240"/>
      <c r="D35" s="1209"/>
      <c r="E35" s="1209"/>
      <c r="F35" s="1211">
        <f t="shared" si="1"/>
        <v>110000</v>
      </c>
    </row>
    <row r="36" spans="1:6" ht="63.75" x14ac:dyDescent="0.2">
      <c r="A36" s="1223" t="s">
        <v>462</v>
      </c>
      <c r="B36" s="1215">
        <v>137041</v>
      </c>
      <c r="C36" s="1240"/>
      <c r="D36" s="1209"/>
      <c r="E36" s="1209"/>
      <c r="F36" s="1211">
        <f t="shared" si="1"/>
        <v>137041</v>
      </c>
    </row>
    <row r="37" spans="1:6" s="130" customFormat="1" ht="54" customHeight="1" x14ac:dyDescent="0.2">
      <c r="A37" s="1231" t="s">
        <v>666</v>
      </c>
      <c r="B37" s="1237">
        <f>B38</f>
        <v>182371</v>
      </c>
      <c r="C37" s="1237">
        <f t="shared" ref="C37:E37" si="5">C38</f>
        <v>0</v>
      </c>
      <c r="D37" s="1237">
        <f t="shared" si="5"/>
        <v>0</v>
      </c>
      <c r="E37" s="1237">
        <f t="shared" si="5"/>
        <v>0</v>
      </c>
      <c r="F37" s="1211">
        <f t="shared" si="1"/>
        <v>182371</v>
      </c>
    </row>
    <row r="38" spans="1:6" s="130" customFormat="1" ht="51" x14ac:dyDescent="0.2">
      <c r="A38" s="1223" t="s">
        <v>667</v>
      </c>
      <c r="B38" s="1215">
        <v>182371</v>
      </c>
      <c r="C38" s="1240"/>
      <c r="D38" s="1209"/>
      <c r="E38" s="1209"/>
      <c r="F38" s="1211">
        <f t="shared" si="1"/>
        <v>182371</v>
      </c>
    </row>
    <row r="39" spans="1:6" ht="38.25" x14ac:dyDescent="0.2">
      <c r="A39" s="1231" t="s">
        <v>463</v>
      </c>
      <c r="B39" s="1222">
        <f>B27+B31+B37</f>
        <v>12163339</v>
      </c>
      <c r="C39" s="1222">
        <f t="shared" ref="C39:E39" si="6">C27+C31+C37</f>
        <v>0</v>
      </c>
      <c r="D39" s="1222">
        <f>D27+D31+D37</f>
        <v>148428</v>
      </c>
      <c r="E39" s="1222">
        <f t="shared" si="6"/>
        <v>0</v>
      </c>
      <c r="F39" s="1211">
        <f t="shared" si="1"/>
        <v>12311767</v>
      </c>
    </row>
    <row r="40" spans="1:6" ht="76.5" x14ac:dyDescent="0.2">
      <c r="A40" s="1234" t="s">
        <v>464</v>
      </c>
      <c r="B40" s="1239">
        <v>0</v>
      </c>
      <c r="C40" s="1233"/>
      <c r="D40" s="1216"/>
      <c r="E40" s="1216"/>
      <c r="F40" s="1211">
        <f t="shared" si="1"/>
        <v>0</v>
      </c>
    </row>
    <row r="41" spans="1:6" ht="63.75" x14ac:dyDescent="0.2">
      <c r="A41" s="1228" t="s">
        <v>465</v>
      </c>
      <c r="B41" s="1237">
        <f>B42+B43</f>
        <v>7984803</v>
      </c>
      <c r="C41" s="1213"/>
      <c r="D41" s="1222">
        <v>0</v>
      </c>
      <c r="E41" s="1222">
        <v>0</v>
      </c>
      <c r="F41" s="1211">
        <f t="shared" si="1"/>
        <v>7984803</v>
      </c>
    </row>
    <row r="42" spans="1:6" ht="63.75" x14ac:dyDescent="0.2">
      <c r="A42" s="1223" t="s">
        <v>466</v>
      </c>
      <c r="B42" s="1239">
        <v>0</v>
      </c>
      <c r="C42" s="1233"/>
      <c r="D42" s="1216">
        <v>0</v>
      </c>
      <c r="E42" s="1216">
        <v>0</v>
      </c>
      <c r="F42" s="1211">
        <f t="shared" si="1"/>
        <v>0</v>
      </c>
    </row>
    <row r="43" spans="1:6" ht="63.75" x14ac:dyDescent="0.2">
      <c r="A43" s="1223" t="s">
        <v>467</v>
      </c>
      <c r="B43" s="1215">
        <v>7984803</v>
      </c>
      <c r="C43" s="1233"/>
      <c r="D43" s="1216"/>
      <c r="E43" s="1216"/>
      <c r="F43" s="1211">
        <f t="shared" si="1"/>
        <v>7984803</v>
      </c>
    </row>
    <row r="44" spans="1:6" ht="63.75" x14ac:dyDescent="0.2">
      <c r="A44" s="1234" t="s">
        <v>468</v>
      </c>
      <c r="B44" s="1241">
        <f>B45+B46+B47</f>
        <v>0</v>
      </c>
      <c r="C44" s="1233">
        <v>0</v>
      </c>
      <c r="D44" s="1216">
        <v>0</v>
      </c>
      <c r="E44" s="1216">
        <v>0</v>
      </c>
      <c r="F44" s="1211">
        <f t="shared" si="1"/>
        <v>0</v>
      </c>
    </row>
    <row r="45" spans="1:6" ht="114.75" x14ac:dyDescent="0.2">
      <c r="A45" s="1223" t="s">
        <v>469</v>
      </c>
      <c r="B45" s="1215">
        <v>0</v>
      </c>
      <c r="C45" s="1213"/>
      <c r="D45" s="1222">
        <v>0</v>
      </c>
      <c r="E45" s="1222"/>
      <c r="F45" s="1211">
        <f t="shared" si="1"/>
        <v>0</v>
      </c>
    </row>
    <row r="46" spans="1:6" ht="51" x14ac:dyDescent="0.2">
      <c r="A46" s="1223" t="s">
        <v>470</v>
      </c>
      <c r="B46" s="1239">
        <v>0</v>
      </c>
      <c r="C46" s="1233"/>
      <c r="D46" s="1216">
        <v>0</v>
      </c>
      <c r="E46" s="1216">
        <f>SUM(E48:E57)</f>
        <v>437884</v>
      </c>
      <c r="F46" s="1211">
        <f t="shared" si="1"/>
        <v>437884</v>
      </c>
    </row>
    <row r="47" spans="1:6" ht="63.75" x14ac:dyDescent="0.2">
      <c r="A47" s="1234" t="s">
        <v>471</v>
      </c>
      <c r="B47" s="1216">
        <v>0</v>
      </c>
      <c r="C47" s="1233"/>
      <c r="D47" s="1216"/>
      <c r="E47" s="1216"/>
      <c r="F47" s="1211">
        <f t="shared" si="1"/>
        <v>0</v>
      </c>
    </row>
    <row r="48" spans="1:6" ht="51" x14ac:dyDescent="0.2">
      <c r="A48" s="1228" t="s">
        <v>472</v>
      </c>
      <c r="B48" s="1216">
        <f>B40+B41+B44</f>
        <v>7984803</v>
      </c>
      <c r="C48" s="1233">
        <f>C40+C41+C44</f>
        <v>0</v>
      </c>
      <c r="D48" s="1216">
        <f>D40+D41+D44</f>
        <v>0</v>
      </c>
      <c r="E48" s="1216">
        <f>E40+E41+E44</f>
        <v>0</v>
      </c>
      <c r="F48" s="1211">
        <f t="shared" si="1"/>
        <v>7984803</v>
      </c>
    </row>
    <row r="49" spans="1:6" ht="25.5" x14ac:dyDescent="0.2">
      <c r="A49" s="1223" t="s">
        <v>473</v>
      </c>
      <c r="B49" s="1215">
        <f>B50+B52+B51</f>
        <v>40000</v>
      </c>
      <c r="C49" s="1215">
        <f t="shared" ref="C49:E49" si="7">C50+C52+C51</f>
        <v>181245</v>
      </c>
      <c r="D49" s="1215">
        <f t="shared" si="7"/>
        <v>0</v>
      </c>
      <c r="E49" s="1215">
        <f t="shared" si="7"/>
        <v>109471</v>
      </c>
      <c r="F49" s="1211">
        <f t="shared" si="1"/>
        <v>330716</v>
      </c>
    </row>
    <row r="50" spans="1:6" s="130" customFormat="1" ht="38.25" x14ac:dyDescent="0.2">
      <c r="A50" s="1208" t="s">
        <v>668</v>
      </c>
      <c r="B50" s="1215">
        <v>40000</v>
      </c>
      <c r="C50" s="1233">
        <v>99105</v>
      </c>
      <c r="D50" s="1216"/>
      <c r="E50" s="1216">
        <v>98911</v>
      </c>
      <c r="F50" s="1211"/>
    </row>
    <row r="51" spans="1:6" s="130" customFormat="1" ht="38.25" x14ac:dyDescent="0.2">
      <c r="A51" s="1208" t="s">
        <v>669</v>
      </c>
      <c r="B51" s="1215"/>
      <c r="C51" s="1233">
        <v>82140</v>
      </c>
      <c r="D51" s="1216"/>
      <c r="E51" s="1216">
        <v>10560</v>
      </c>
      <c r="F51" s="1211"/>
    </row>
    <row r="52" spans="1:6" ht="38.25" x14ac:dyDescent="0.2">
      <c r="A52" s="1234" t="s">
        <v>474</v>
      </c>
      <c r="B52" s="1215">
        <v>0</v>
      </c>
      <c r="C52" s="1233"/>
      <c r="D52" s="1216"/>
      <c r="E52" s="1216"/>
      <c r="F52" s="1211">
        <f t="shared" si="1"/>
        <v>0</v>
      </c>
    </row>
    <row r="53" spans="1:6" ht="25.5" x14ac:dyDescent="0.2">
      <c r="A53" s="1217" t="s">
        <v>475</v>
      </c>
      <c r="B53" s="1239">
        <v>90000</v>
      </c>
      <c r="C53" s="1233"/>
      <c r="D53" s="1216"/>
      <c r="E53" s="1216"/>
      <c r="F53" s="1211">
        <f t="shared" si="1"/>
        <v>90000</v>
      </c>
    </row>
    <row r="54" spans="1:6" ht="63.75" x14ac:dyDescent="0.2">
      <c r="A54" s="1217" t="s">
        <v>476</v>
      </c>
      <c r="B54" s="1215">
        <v>3470</v>
      </c>
      <c r="C54" s="1233"/>
      <c r="D54" s="1216"/>
      <c r="E54" s="1216"/>
      <c r="F54" s="1211">
        <f t="shared" si="1"/>
        <v>3470</v>
      </c>
    </row>
    <row r="55" spans="1:6" ht="38.25" x14ac:dyDescent="0.2">
      <c r="A55" s="1228" t="s">
        <v>477</v>
      </c>
      <c r="B55" s="1216">
        <f>B49+B53+B54</f>
        <v>133470</v>
      </c>
      <c r="C55" s="1233">
        <f>C49+C53+C54</f>
        <v>181245</v>
      </c>
      <c r="D55" s="1216">
        <f>D49+D53+D54</f>
        <v>0</v>
      </c>
      <c r="E55" s="1216">
        <f>E49+E53+E54</f>
        <v>109471</v>
      </c>
      <c r="F55" s="1211">
        <f t="shared" si="1"/>
        <v>424186</v>
      </c>
    </row>
    <row r="56" spans="1:6" ht="25.5" x14ac:dyDescent="0.2">
      <c r="A56" s="1229" t="s">
        <v>478</v>
      </c>
      <c r="B56" s="1226">
        <f>B55+B48+B39</f>
        <v>20281612</v>
      </c>
      <c r="C56" s="1226">
        <f t="shared" ref="C56:D56" si="8">C55+C48+C39</f>
        <v>181245</v>
      </c>
      <c r="D56" s="1226">
        <f t="shared" si="8"/>
        <v>148428</v>
      </c>
      <c r="E56" s="1226">
        <f t="shared" ref="E56" si="9">E55+E48+E39</f>
        <v>109471</v>
      </c>
      <c r="F56" s="1227">
        <f t="shared" si="1"/>
        <v>20720756</v>
      </c>
    </row>
    <row r="57" spans="1:6" ht="38.25" x14ac:dyDescent="0.2">
      <c r="A57" s="1223" t="s">
        <v>479</v>
      </c>
      <c r="B57" s="1216">
        <v>139992</v>
      </c>
      <c r="C57" s="1233"/>
      <c r="D57" s="1216">
        <v>64784</v>
      </c>
      <c r="E57" s="1216"/>
      <c r="F57" s="1211">
        <f t="shared" si="1"/>
        <v>204776</v>
      </c>
    </row>
    <row r="58" spans="1:6" s="130" customFormat="1" ht="38.25" x14ac:dyDescent="0.2">
      <c r="A58" s="1223" t="s">
        <v>670</v>
      </c>
      <c r="B58" s="1216"/>
      <c r="C58" s="1233"/>
      <c r="D58" s="1216">
        <v>24520</v>
      </c>
      <c r="E58" s="1216"/>
      <c r="F58" s="1211"/>
    </row>
    <row r="59" spans="1:6" ht="51" x14ac:dyDescent="0.2">
      <c r="A59" s="1231" t="s">
        <v>480</v>
      </c>
      <c r="B59" s="1216">
        <f>B57+B58</f>
        <v>139992</v>
      </c>
      <c r="C59" s="1216">
        <f t="shared" ref="C59:E59" si="10">C57+C58</f>
        <v>0</v>
      </c>
      <c r="D59" s="1216">
        <f t="shared" si="10"/>
        <v>89304</v>
      </c>
      <c r="E59" s="1216">
        <f t="shared" si="10"/>
        <v>0</v>
      </c>
      <c r="F59" s="1211">
        <f t="shared" si="1"/>
        <v>229296</v>
      </c>
    </row>
    <row r="60" spans="1:6" ht="25.5" x14ac:dyDescent="0.2">
      <c r="A60" s="1234" t="s">
        <v>481</v>
      </c>
      <c r="B60" s="1216">
        <v>-475000</v>
      </c>
      <c r="C60" s="1233">
        <v>-82227</v>
      </c>
      <c r="D60" s="1216">
        <v>-752000</v>
      </c>
      <c r="E60" s="1216"/>
      <c r="F60" s="1211">
        <f t="shared" si="1"/>
        <v>-1309227</v>
      </c>
    </row>
    <row r="61" spans="1:6" ht="38.25" x14ac:dyDescent="0.2">
      <c r="A61" s="1231" t="s">
        <v>482</v>
      </c>
      <c r="B61" s="1216">
        <f>B60</f>
        <v>-475000</v>
      </c>
      <c r="C61" s="1233">
        <f>C60</f>
        <v>-82227</v>
      </c>
      <c r="D61" s="1216">
        <f>D60</f>
        <v>-752000</v>
      </c>
      <c r="E61" s="1216"/>
      <c r="F61" s="1211">
        <f t="shared" si="1"/>
        <v>-1309227</v>
      </c>
    </row>
    <row r="62" spans="1:6" ht="38.25" x14ac:dyDescent="0.2">
      <c r="A62" s="1223" t="s">
        <v>483</v>
      </c>
      <c r="B62" s="1216">
        <v>0</v>
      </c>
      <c r="C62" s="1233">
        <v>0</v>
      </c>
      <c r="D62" s="1216">
        <v>0</v>
      </c>
      <c r="E62" s="1216">
        <v>0</v>
      </c>
      <c r="F62" s="1211">
        <f t="shared" si="1"/>
        <v>0</v>
      </c>
    </row>
    <row r="63" spans="1:6" ht="38.25" x14ac:dyDescent="0.2">
      <c r="A63" s="1231" t="s">
        <v>484</v>
      </c>
      <c r="B63" s="1216">
        <f>B62</f>
        <v>0</v>
      </c>
      <c r="C63" s="1233">
        <f>C62</f>
        <v>0</v>
      </c>
      <c r="D63" s="1216">
        <f>D62</f>
        <v>0</v>
      </c>
      <c r="E63" s="1216"/>
      <c r="F63" s="1211">
        <f t="shared" si="1"/>
        <v>0</v>
      </c>
    </row>
    <row r="64" spans="1:6" ht="38.25" x14ac:dyDescent="0.2">
      <c r="A64" s="1229" t="s">
        <v>485</v>
      </c>
      <c r="B64" s="1230">
        <f>B59+B61+B63</f>
        <v>-335008</v>
      </c>
      <c r="C64" s="1242">
        <f>C59+C61+C63</f>
        <v>-82227</v>
      </c>
      <c r="D64" s="1230">
        <f>D59+D61+D63</f>
        <v>-662696</v>
      </c>
      <c r="E64" s="1230">
        <f>E62</f>
        <v>0</v>
      </c>
      <c r="F64" s="1227">
        <f t="shared" si="1"/>
        <v>-1079931</v>
      </c>
    </row>
    <row r="65" spans="1:9" ht="25.5" x14ac:dyDescent="0.2">
      <c r="A65" s="1223" t="s">
        <v>486</v>
      </c>
      <c r="B65" s="1216"/>
      <c r="C65" s="1233"/>
      <c r="D65" s="1216">
        <v>0</v>
      </c>
      <c r="E65" s="1216"/>
      <c r="F65" s="1211">
        <f t="shared" si="1"/>
        <v>0</v>
      </c>
    </row>
    <row r="66" spans="1:9" ht="38.25" x14ac:dyDescent="0.2">
      <c r="A66" s="1243" t="s">
        <v>487</v>
      </c>
      <c r="B66" s="1230">
        <f>B65</f>
        <v>0</v>
      </c>
      <c r="C66" s="1242">
        <f>C65</f>
        <v>0</v>
      </c>
      <c r="D66" s="1230">
        <f>D65</f>
        <v>0</v>
      </c>
      <c r="E66" s="1230">
        <f>E65</f>
        <v>0</v>
      </c>
      <c r="F66" s="1227">
        <f t="shared" si="1"/>
        <v>0</v>
      </c>
    </row>
    <row r="67" spans="1:9" ht="25.5" x14ac:dyDescent="0.2">
      <c r="A67" s="1244" t="s">
        <v>488</v>
      </c>
      <c r="B67" s="1245">
        <f>B17+B20+B26+B56+B64+B66</f>
        <v>2842998152</v>
      </c>
      <c r="C67" s="1245">
        <f t="shared" ref="C67:E67" si="11">C17+C20+C26+C56+C64+C66</f>
        <v>949498</v>
      </c>
      <c r="D67" s="1245">
        <f t="shared" si="11"/>
        <v>407666</v>
      </c>
      <c r="E67" s="1245">
        <f t="shared" si="11"/>
        <v>149534</v>
      </c>
      <c r="F67" s="1246">
        <f t="shared" si="1"/>
        <v>2844504850</v>
      </c>
      <c r="I67" s="25"/>
    </row>
    <row r="68" spans="1:9" ht="25.5" x14ac:dyDescent="0.2">
      <c r="A68" s="1223" t="s">
        <v>489</v>
      </c>
      <c r="B68" s="1216">
        <v>2304248651</v>
      </c>
      <c r="C68" s="1233">
        <f>'[3]12 A'!$C$23</f>
        <v>173101</v>
      </c>
      <c r="D68" s="1216">
        <f>'[4]12 A'!$C$25</f>
        <v>14348196</v>
      </c>
      <c r="E68" s="1216">
        <f>'[5]12 A'!$C$13</f>
        <v>3895</v>
      </c>
      <c r="F68" s="1211">
        <f t="shared" si="1"/>
        <v>2318773843</v>
      </c>
    </row>
    <row r="69" spans="1:9" ht="25.5" x14ac:dyDescent="0.2">
      <c r="A69" s="1223" t="s">
        <v>490</v>
      </c>
      <c r="B69" s="1216">
        <v>793881982</v>
      </c>
      <c r="C69" s="1233"/>
      <c r="D69" s="1216"/>
      <c r="E69" s="1216"/>
      <c r="F69" s="1211">
        <f t="shared" si="1"/>
        <v>793881982</v>
      </c>
    </row>
    <row r="70" spans="1:9" ht="38.25" x14ac:dyDescent="0.2">
      <c r="A70" s="1234" t="s">
        <v>491</v>
      </c>
      <c r="B70" s="1216">
        <v>17253816</v>
      </c>
      <c r="C70" s="1233">
        <f>'[3]12 A'!$C$24</f>
        <v>350202</v>
      </c>
      <c r="D70" s="1216">
        <f>'[4]12 A'!$C$26</f>
        <v>271730</v>
      </c>
      <c r="E70" s="1216">
        <f>'[5]12 A'!$C$14</f>
        <v>82388</v>
      </c>
      <c r="F70" s="1211">
        <f t="shared" si="1"/>
        <v>17958136</v>
      </c>
    </row>
    <row r="71" spans="1:9" ht="51" x14ac:dyDescent="0.2">
      <c r="A71" s="1225" t="s">
        <v>492</v>
      </c>
      <c r="B71" s="1230">
        <f>B70</f>
        <v>17253816</v>
      </c>
      <c r="C71" s="1242">
        <f>C70</f>
        <v>350202</v>
      </c>
      <c r="D71" s="1230">
        <f>D70</f>
        <v>271730</v>
      </c>
      <c r="E71" s="1230">
        <f>E70</f>
        <v>82388</v>
      </c>
      <c r="F71" s="1227">
        <f t="shared" si="1"/>
        <v>17958136</v>
      </c>
    </row>
    <row r="72" spans="1:9" ht="25.5" x14ac:dyDescent="0.2">
      <c r="A72" s="1217" t="s">
        <v>493</v>
      </c>
      <c r="B72" s="1216">
        <v>-1022891280</v>
      </c>
      <c r="C72" s="1233">
        <v>-2226814</v>
      </c>
      <c r="D72" s="1216">
        <v>-16428637</v>
      </c>
      <c r="E72" s="1216">
        <v>-3122566</v>
      </c>
      <c r="F72" s="1211">
        <f t="shared" si="1"/>
        <v>-1044669297</v>
      </c>
    </row>
    <row r="73" spans="1:9" ht="25.5" x14ac:dyDescent="0.2">
      <c r="A73" s="1217" t="s">
        <v>494</v>
      </c>
      <c r="B73" s="1216">
        <v>130470439</v>
      </c>
      <c r="C73" s="1233">
        <v>-144367</v>
      </c>
      <c r="D73" s="1216">
        <v>-1336868</v>
      </c>
      <c r="E73" s="1216">
        <v>-130749</v>
      </c>
      <c r="F73" s="1211">
        <f t="shared" si="1"/>
        <v>128858455</v>
      </c>
    </row>
    <row r="74" spans="1:9" ht="25.5" x14ac:dyDescent="0.2">
      <c r="A74" s="1225" t="s">
        <v>495</v>
      </c>
      <c r="B74" s="1230">
        <f>B68+B69+B71+B72+B73</f>
        <v>2222963608</v>
      </c>
      <c r="C74" s="1242">
        <f>C68+C71+C73+C72</f>
        <v>-1847878</v>
      </c>
      <c r="D74" s="1230">
        <f>D68+D69+D71+D72+D73</f>
        <v>-3145579</v>
      </c>
      <c r="E74" s="1230">
        <f>E68+E69+E71+E72+E73</f>
        <v>-3167032</v>
      </c>
      <c r="F74" s="1227">
        <f t="shared" si="1"/>
        <v>2214803119</v>
      </c>
    </row>
    <row r="75" spans="1:9" ht="38.25" x14ac:dyDescent="0.2">
      <c r="A75" s="1217" t="s">
        <v>513</v>
      </c>
      <c r="B75" s="1216"/>
      <c r="C75" s="1233"/>
      <c r="D75" s="1216"/>
      <c r="E75" s="1216"/>
      <c r="F75" s="1211">
        <f t="shared" si="1"/>
        <v>0</v>
      </c>
    </row>
    <row r="76" spans="1:9" ht="38.25" x14ac:dyDescent="0.2">
      <c r="A76" s="1223" t="s">
        <v>496</v>
      </c>
      <c r="B76" s="1216">
        <v>1616443</v>
      </c>
      <c r="C76" s="1233">
        <v>269802</v>
      </c>
      <c r="D76" s="1216">
        <v>1028327</v>
      </c>
      <c r="E76" s="1216">
        <v>34019</v>
      </c>
      <c r="F76" s="1211">
        <f t="shared" si="1"/>
        <v>2948591</v>
      </c>
    </row>
    <row r="77" spans="1:9" ht="38.25" x14ac:dyDescent="0.2">
      <c r="A77" s="1223" t="s">
        <v>497</v>
      </c>
      <c r="B77" s="1216">
        <v>4750765</v>
      </c>
      <c r="C77" s="1233"/>
      <c r="D77" s="1216"/>
      <c r="E77" s="1216"/>
      <c r="F77" s="1211">
        <f t="shared" si="1"/>
        <v>4750765</v>
      </c>
    </row>
    <row r="78" spans="1:9" ht="38.25" x14ac:dyDescent="0.2">
      <c r="A78" s="1224" t="s">
        <v>498</v>
      </c>
      <c r="B78" s="1222">
        <f>B76+B77</f>
        <v>6367208</v>
      </c>
      <c r="C78" s="1213">
        <f>C76+C75</f>
        <v>269802</v>
      </c>
      <c r="D78" s="1213">
        <f>D76+D75</f>
        <v>1028327</v>
      </c>
      <c r="E78" s="1222">
        <f>E76+E77</f>
        <v>34019</v>
      </c>
      <c r="F78" s="1211">
        <f t="shared" si="1"/>
        <v>7699356</v>
      </c>
    </row>
    <row r="79" spans="1:9" ht="51" x14ac:dyDescent="0.2">
      <c r="A79" s="1217" t="s">
        <v>499</v>
      </c>
      <c r="B79" s="1222">
        <v>0</v>
      </c>
      <c r="C79" s="1213">
        <v>0</v>
      </c>
      <c r="D79" s="1222">
        <v>512640</v>
      </c>
      <c r="E79" s="1222">
        <f>SUM(E80)</f>
        <v>0</v>
      </c>
      <c r="F79" s="1211">
        <f t="shared" si="1"/>
        <v>512640</v>
      </c>
    </row>
    <row r="80" spans="1:9" ht="63.75" x14ac:dyDescent="0.2">
      <c r="A80" s="1217" t="s">
        <v>500</v>
      </c>
      <c r="B80" s="1216"/>
      <c r="C80" s="1233">
        <v>0</v>
      </c>
      <c r="D80" s="1216">
        <v>0</v>
      </c>
      <c r="E80" s="1216">
        <v>0</v>
      </c>
      <c r="F80" s="1211">
        <f t="shared" ref="F80:F91" si="12">SUM(B80:E80)</f>
        <v>0</v>
      </c>
    </row>
    <row r="81" spans="1:6" ht="63.75" x14ac:dyDescent="0.2">
      <c r="A81" s="1217" t="s">
        <v>501</v>
      </c>
      <c r="B81" s="1222">
        <f>B82</f>
        <v>7444310</v>
      </c>
      <c r="C81" s="1213">
        <f>SUM(C82:C84)</f>
        <v>0</v>
      </c>
      <c r="D81" s="1222"/>
      <c r="E81" s="1222">
        <f>SUM(E82:E84)</f>
        <v>0</v>
      </c>
      <c r="F81" s="1211">
        <f t="shared" si="12"/>
        <v>7444310</v>
      </c>
    </row>
    <row r="82" spans="1:6" ht="89.25" x14ac:dyDescent="0.2">
      <c r="A82" s="1217" t="s">
        <v>502</v>
      </c>
      <c r="B82" s="1216">
        <v>7444310</v>
      </c>
      <c r="C82" s="1233"/>
      <c r="D82" s="1216"/>
      <c r="E82" s="1216"/>
      <c r="F82" s="1211">
        <f t="shared" si="12"/>
        <v>7444310</v>
      </c>
    </row>
    <row r="83" spans="1:6" ht="51" x14ac:dyDescent="0.2">
      <c r="A83" s="1231" t="s">
        <v>503</v>
      </c>
      <c r="B83" s="1216">
        <f>B79+B80+B81</f>
        <v>7444310</v>
      </c>
      <c r="C83" s="1233">
        <v>0</v>
      </c>
      <c r="D83" s="1216">
        <v>0</v>
      </c>
      <c r="E83" s="1216"/>
      <c r="F83" s="1211">
        <f t="shared" si="12"/>
        <v>7444310</v>
      </c>
    </row>
    <row r="84" spans="1:6" ht="12.75" x14ac:dyDescent="0.2">
      <c r="A84" s="1223" t="s">
        <v>504</v>
      </c>
      <c r="B84" s="1216">
        <v>3849649</v>
      </c>
      <c r="C84" s="1233"/>
      <c r="D84" s="1216">
        <v>1970</v>
      </c>
      <c r="E84" s="1216"/>
      <c r="F84" s="1211">
        <f t="shared" si="12"/>
        <v>3851619</v>
      </c>
    </row>
    <row r="85" spans="1:6" ht="38.25" x14ac:dyDescent="0.2">
      <c r="A85" s="1223" t="s">
        <v>505</v>
      </c>
      <c r="B85" s="1247">
        <v>6471</v>
      </c>
      <c r="C85" s="1248"/>
      <c r="D85" s="1247">
        <v>0</v>
      </c>
      <c r="E85" s="1247">
        <v>0</v>
      </c>
      <c r="F85" s="1211">
        <f t="shared" si="12"/>
        <v>6471</v>
      </c>
    </row>
    <row r="86" spans="1:6" ht="38.25" x14ac:dyDescent="0.2">
      <c r="A86" s="1228" t="s">
        <v>506</v>
      </c>
      <c r="B86" s="1249">
        <f>B84+B85</f>
        <v>3856120</v>
      </c>
      <c r="C86" s="1250">
        <f>C84+C85</f>
        <v>0</v>
      </c>
      <c r="D86" s="1251">
        <f>D84+D85</f>
        <v>1970</v>
      </c>
      <c r="E86" s="1222">
        <f>E84+E85</f>
        <v>0</v>
      </c>
      <c r="F86" s="1211">
        <f t="shared" si="12"/>
        <v>3858090</v>
      </c>
    </row>
    <row r="87" spans="1:6" ht="25.5" x14ac:dyDescent="0.2">
      <c r="A87" s="1225" t="s">
        <v>507</v>
      </c>
      <c r="B87" s="1252">
        <f>B86+B83+B78</f>
        <v>17667638</v>
      </c>
      <c r="C87" s="1252">
        <f t="shared" ref="C87:E87" si="13">C86+C83+C78</f>
        <v>269802</v>
      </c>
      <c r="D87" s="1252">
        <f t="shared" si="13"/>
        <v>1030297</v>
      </c>
      <c r="E87" s="1252">
        <f t="shared" si="13"/>
        <v>34019</v>
      </c>
      <c r="F87" s="1211">
        <f t="shared" si="12"/>
        <v>19001756</v>
      </c>
    </row>
    <row r="88" spans="1:6" ht="25.5" x14ac:dyDescent="0.2">
      <c r="A88" s="1223" t="s">
        <v>508</v>
      </c>
      <c r="B88" s="1253">
        <v>5075599</v>
      </c>
      <c r="C88" s="1254">
        <v>2527574</v>
      </c>
      <c r="D88" s="1253">
        <v>2522948</v>
      </c>
      <c r="E88" s="1253">
        <v>3282547</v>
      </c>
      <c r="F88" s="1211">
        <f t="shared" si="12"/>
        <v>13408668</v>
      </c>
    </row>
    <row r="89" spans="1:6" ht="38.25" x14ac:dyDescent="0.2">
      <c r="A89" s="1223" t="s">
        <v>509</v>
      </c>
      <c r="B89" s="1253">
        <v>597291307</v>
      </c>
      <c r="C89" s="1254">
        <v>0</v>
      </c>
      <c r="D89" s="1253">
        <v>0</v>
      </c>
      <c r="E89" s="1253"/>
      <c r="F89" s="1211">
        <f t="shared" si="12"/>
        <v>597291307</v>
      </c>
    </row>
    <row r="90" spans="1:6" ht="38.25" x14ac:dyDescent="0.2">
      <c r="A90" s="1229" t="s">
        <v>510</v>
      </c>
      <c r="B90" s="1255">
        <f>B88+B89</f>
        <v>602366906</v>
      </c>
      <c r="C90" s="1256">
        <f>C88+C89</f>
        <v>2527574</v>
      </c>
      <c r="D90" s="1255">
        <f>D88+0</f>
        <v>2522948</v>
      </c>
      <c r="E90" s="1255">
        <f>E88+E89</f>
        <v>3282547</v>
      </c>
      <c r="F90" s="1227">
        <f t="shared" si="12"/>
        <v>610699975</v>
      </c>
    </row>
    <row r="91" spans="1:6" ht="25.5" x14ac:dyDescent="0.2">
      <c r="A91" s="1257" t="s">
        <v>511</v>
      </c>
      <c r="B91" s="1258">
        <f>B90+B87+B74</f>
        <v>2842998152</v>
      </c>
      <c r="C91" s="1258">
        <f>C90+C87+C74</f>
        <v>949498</v>
      </c>
      <c r="D91" s="1258">
        <f>D90+D87+D74</f>
        <v>407666</v>
      </c>
      <c r="E91" s="1258">
        <f>E90+E87+E74</f>
        <v>149534</v>
      </c>
      <c r="F91" s="1246">
        <f t="shared" si="12"/>
        <v>2844504850</v>
      </c>
    </row>
  </sheetData>
  <mergeCells count="7">
    <mergeCell ref="A1:F1"/>
    <mergeCell ref="A3:A6"/>
    <mergeCell ref="B3:B6"/>
    <mergeCell ref="C3:C6"/>
    <mergeCell ref="D3:D6"/>
    <mergeCell ref="E3:E6"/>
    <mergeCell ref="F3:F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63"/>
  <sheetViews>
    <sheetView workbookViewId="0">
      <selection activeCell="D23" sqref="D23"/>
    </sheetView>
  </sheetViews>
  <sheetFormatPr defaultRowHeight="12.75" x14ac:dyDescent="0.2"/>
  <cols>
    <col min="1" max="1" width="8.140625" style="130" customWidth="1"/>
    <col min="2" max="2" width="37.28515625" style="130" customWidth="1"/>
    <col min="3" max="3" width="14.28515625" style="130" customWidth="1"/>
    <col min="4" max="4" width="18.7109375" style="130" customWidth="1"/>
    <col min="5" max="5" width="18.5703125" style="130" customWidth="1"/>
    <col min="6" max="6" width="16.7109375" style="130" customWidth="1"/>
    <col min="7" max="7" width="22" style="130" customWidth="1"/>
    <col min="8" max="8" width="19.28515625" style="130" customWidth="1"/>
    <col min="9" max="9" width="25.85546875" style="130" customWidth="1"/>
    <col min="10" max="16384" width="9.140625" style="130"/>
  </cols>
  <sheetData>
    <row r="1" spans="1:9" x14ac:dyDescent="0.2">
      <c r="A1" s="1595"/>
      <c r="B1" s="1595"/>
      <c r="C1" s="1595"/>
      <c r="D1" s="1595"/>
      <c r="E1" s="1595"/>
      <c r="F1" s="1595"/>
      <c r="G1" s="1595"/>
      <c r="H1" s="1595"/>
      <c r="I1" s="1595"/>
    </row>
    <row r="2" spans="1:9" x14ac:dyDescent="0.2">
      <c r="A2" s="1595"/>
      <c r="B2" s="1595"/>
      <c r="C2" s="1595"/>
      <c r="D2" s="1595"/>
      <c r="E2" s="1595"/>
      <c r="F2" s="1595"/>
      <c r="G2" s="1595"/>
      <c r="H2" s="1595"/>
      <c r="I2" s="1595"/>
    </row>
    <row r="3" spans="1:9" ht="55.5" customHeight="1" thickBot="1" x14ac:dyDescent="0.25">
      <c r="A3" s="1595"/>
      <c r="B3" s="1595"/>
      <c r="C3" s="1595"/>
      <c r="D3" s="1595"/>
      <c r="E3" s="1595"/>
      <c r="F3" s="1595"/>
      <c r="G3" s="1595"/>
      <c r="H3" s="1595"/>
      <c r="I3" s="1595"/>
    </row>
    <row r="4" spans="1:9" ht="18.75" customHeight="1" thickBot="1" x14ac:dyDescent="0.25">
      <c r="A4" s="1848" t="s">
        <v>258</v>
      </c>
      <c r="B4" s="1849"/>
      <c r="C4" s="1849"/>
      <c r="D4" s="1090"/>
      <c r="E4" s="1090"/>
      <c r="F4" s="1090"/>
      <c r="G4" s="1090"/>
      <c r="H4" s="1090"/>
      <c r="I4" s="1091"/>
    </row>
    <row r="5" spans="1:9" ht="27" customHeight="1" thickBot="1" x14ac:dyDescent="0.25">
      <c r="A5" s="1846" t="s">
        <v>725</v>
      </c>
      <c r="B5" s="1847"/>
      <c r="C5" s="1847"/>
      <c r="D5" s="1847"/>
      <c r="E5" s="1847"/>
      <c r="F5" s="1847"/>
      <c r="G5" s="1847"/>
      <c r="H5" s="1847"/>
      <c r="I5" s="1847"/>
    </row>
    <row r="6" spans="1:9" ht="63.75" thickBot="1" x14ac:dyDescent="0.25">
      <c r="A6" s="1101"/>
      <c r="B6" s="1101" t="s">
        <v>514</v>
      </c>
      <c r="C6" s="1101" t="s">
        <v>515</v>
      </c>
      <c r="D6" s="1101" t="s">
        <v>516</v>
      </c>
      <c r="E6" s="1101" t="s">
        <v>724</v>
      </c>
      <c r="F6" s="1101" t="s">
        <v>723</v>
      </c>
      <c r="G6" s="1101" t="s">
        <v>517</v>
      </c>
      <c r="H6" s="1101" t="s">
        <v>722</v>
      </c>
      <c r="I6" s="1101" t="s">
        <v>518</v>
      </c>
    </row>
    <row r="7" spans="1:9" ht="16.5" thickBot="1" x14ac:dyDescent="0.25">
      <c r="A7" s="1101">
        <v>1</v>
      </c>
      <c r="B7" s="1101">
        <v>2</v>
      </c>
      <c r="C7" s="1101">
        <v>3</v>
      </c>
      <c r="D7" s="1101">
        <v>4</v>
      </c>
      <c r="E7" s="1101">
        <v>5</v>
      </c>
      <c r="F7" s="1101">
        <v>6</v>
      </c>
      <c r="G7" s="1101">
        <v>7</v>
      </c>
      <c r="H7" s="1101">
        <v>8</v>
      </c>
      <c r="I7" s="1101">
        <v>9</v>
      </c>
    </row>
    <row r="8" spans="1:9" ht="26.25" thickBot="1" x14ac:dyDescent="0.25">
      <c r="A8" s="1102" t="s">
        <v>397</v>
      </c>
      <c r="B8" s="1103" t="s">
        <v>519</v>
      </c>
      <c r="C8" s="1104">
        <v>19519797</v>
      </c>
      <c r="D8" s="1104">
        <v>3126865557</v>
      </c>
      <c r="E8" s="1104">
        <v>120060309</v>
      </c>
      <c r="F8" s="1104">
        <v>0</v>
      </c>
      <c r="G8" s="1104">
        <v>4251682</v>
      </c>
      <c r="H8" s="1104">
        <v>2410736</v>
      </c>
      <c r="I8" s="1104">
        <v>3273108081</v>
      </c>
    </row>
    <row r="9" spans="1:9" ht="26.25" thickBot="1" x14ac:dyDescent="0.25">
      <c r="A9" s="1105" t="s">
        <v>399</v>
      </c>
      <c r="B9" s="1106" t="s">
        <v>520</v>
      </c>
      <c r="C9" s="1107">
        <v>0</v>
      </c>
      <c r="D9" s="1107">
        <v>0</v>
      </c>
      <c r="E9" s="1107">
        <v>0</v>
      </c>
      <c r="F9" s="1107">
        <v>0</v>
      </c>
      <c r="G9" s="1107">
        <v>23702546</v>
      </c>
      <c r="H9" s="1107">
        <v>0</v>
      </c>
      <c r="I9" s="1107">
        <v>23702546</v>
      </c>
    </row>
    <row r="10" spans="1:9" ht="13.5" thickBot="1" x14ac:dyDescent="0.25">
      <c r="A10" s="1105" t="s">
        <v>403</v>
      </c>
      <c r="B10" s="1106" t="s">
        <v>521</v>
      </c>
      <c r="C10" s="1107">
        <v>0</v>
      </c>
      <c r="D10" s="1107">
        <v>0</v>
      </c>
      <c r="E10" s="1107">
        <v>0</v>
      </c>
      <c r="F10" s="1107">
        <v>0</v>
      </c>
      <c r="G10" s="1107">
        <v>13895321</v>
      </c>
      <c r="H10" s="1107">
        <v>0</v>
      </c>
      <c r="I10" s="1107">
        <v>13895321</v>
      </c>
    </row>
    <row r="11" spans="1:9" ht="13.5" thickBot="1" x14ac:dyDescent="0.25">
      <c r="A11" s="1105" t="s">
        <v>405</v>
      </c>
      <c r="B11" s="1106" t="s">
        <v>522</v>
      </c>
      <c r="C11" s="1107">
        <v>0</v>
      </c>
      <c r="D11" s="1107">
        <v>15309021</v>
      </c>
      <c r="E11" s="1107">
        <v>9875377</v>
      </c>
      <c r="F11" s="1107">
        <v>0</v>
      </c>
      <c r="G11" s="1107">
        <v>0</v>
      </c>
      <c r="H11" s="1107">
        <v>0</v>
      </c>
      <c r="I11" s="1107">
        <v>25184398</v>
      </c>
    </row>
    <row r="12" spans="1:9" ht="13.5" thickBot="1" x14ac:dyDescent="0.25">
      <c r="A12" s="1105" t="s">
        <v>416</v>
      </c>
      <c r="B12" s="1106" t="s">
        <v>523</v>
      </c>
      <c r="C12" s="1107">
        <v>2453979</v>
      </c>
      <c r="D12" s="1107">
        <v>0</v>
      </c>
      <c r="E12" s="1107">
        <v>4660060</v>
      </c>
      <c r="F12" s="1107">
        <v>0</v>
      </c>
      <c r="G12" s="1107">
        <v>0</v>
      </c>
      <c r="H12" s="1107">
        <v>0</v>
      </c>
      <c r="I12" s="1107">
        <v>7114039</v>
      </c>
    </row>
    <row r="13" spans="1:9" ht="13.5" thickBot="1" x14ac:dyDescent="0.25">
      <c r="A13" s="1102" t="s">
        <v>418</v>
      </c>
      <c r="B13" s="1103" t="s">
        <v>721</v>
      </c>
      <c r="C13" s="1104">
        <v>2453979</v>
      </c>
      <c r="D13" s="1104">
        <v>15309021</v>
      </c>
      <c r="E13" s="1104">
        <v>14535437</v>
      </c>
      <c r="F13" s="1104">
        <v>0</v>
      </c>
      <c r="G13" s="1104">
        <v>37597867</v>
      </c>
      <c r="H13" s="1104">
        <v>0</v>
      </c>
      <c r="I13" s="1104">
        <v>69896304</v>
      </c>
    </row>
    <row r="14" spans="1:9" ht="13.5" thickBot="1" x14ac:dyDescent="0.25">
      <c r="A14" s="1105" t="s">
        <v>342</v>
      </c>
      <c r="B14" s="1106" t="s">
        <v>526</v>
      </c>
      <c r="C14" s="1107">
        <v>0</v>
      </c>
      <c r="D14" s="1107">
        <v>0</v>
      </c>
      <c r="E14" s="1107">
        <v>0</v>
      </c>
      <c r="F14" s="1107">
        <v>0</v>
      </c>
      <c r="G14" s="1107">
        <v>32802257</v>
      </c>
      <c r="H14" s="1107">
        <v>0</v>
      </c>
      <c r="I14" s="1107">
        <v>32802257</v>
      </c>
    </row>
    <row r="15" spans="1:9" ht="13.5" thickBot="1" x14ac:dyDescent="0.25">
      <c r="A15" s="1102" t="s">
        <v>343</v>
      </c>
      <c r="B15" s="1103" t="s">
        <v>527</v>
      </c>
      <c r="C15" s="1104">
        <v>0</v>
      </c>
      <c r="D15" s="1104">
        <v>0</v>
      </c>
      <c r="E15" s="1104">
        <v>0</v>
      </c>
      <c r="F15" s="1104">
        <v>0</v>
      </c>
      <c r="G15" s="1104">
        <v>32802257</v>
      </c>
      <c r="H15" s="1104">
        <v>0</v>
      </c>
      <c r="I15" s="1104">
        <v>32802257</v>
      </c>
    </row>
    <row r="16" spans="1:9" ht="13.5" thickBot="1" x14ac:dyDescent="0.25">
      <c r="A16" s="1102" t="s">
        <v>344</v>
      </c>
      <c r="B16" s="1103" t="s">
        <v>720</v>
      </c>
      <c r="C16" s="1104">
        <v>21973776</v>
      </c>
      <c r="D16" s="1104">
        <v>3142174578</v>
      </c>
      <c r="E16" s="1104">
        <v>134595746</v>
      </c>
      <c r="F16" s="1104">
        <v>0</v>
      </c>
      <c r="G16" s="1104">
        <v>9047292</v>
      </c>
      <c r="H16" s="1104">
        <v>2410736</v>
      </c>
      <c r="I16" s="1104">
        <v>3310202128</v>
      </c>
    </row>
    <row r="17" spans="1:9" ht="26.25" thickBot="1" x14ac:dyDescent="0.25">
      <c r="A17" s="1102" t="s">
        <v>345</v>
      </c>
      <c r="B17" s="1103" t="s">
        <v>528</v>
      </c>
      <c r="C17" s="1104">
        <v>19332639</v>
      </c>
      <c r="D17" s="1104">
        <v>501852089</v>
      </c>
      <c r="E17" s="1104">
        <v>89328404</v>
      </c>
      <c r="F17" s="1104">
        <v>0</v>
      </c>
      <c r="G17" s="1104">
        <v>0</v>
      </c>
      <c r="H17" s="1104">
        <v>2410736</v>
      </c>
      <c r="I17" s="1104">
        <v>612923868</v>
      </c>
    </row>
    <row r="18" spans="1:9" ht="13.5" thickBot="1" x14ac:dyDescent="0.25">
      <c r="A18" s="1105" t="s">
        <v>529</v>
      </c>
      <c r="B18" s="1106" t="s">
        <v>530</v>
      </c>
      <c r="C18" s="1107">
        <v>270938</v>
      </c>
      <c r="D18" s="1107">
        <v>82539952</v>
      </c>
      <c r="E18" s="1107">
        <v>11316561</v>
      </c>
      <c r="F18" s="1107">
        <v>0</v>
      </c>
      <c r="G18" s="1107">
        <v>0</v>
      </c>
      <c r="H18" s="1107">
        <v>0</v>
      </c>
      <c r="I18" s="1107">
        <v>94127451</v>
      </c>
    </row>
    <row r="19" spans="1:9" ht="13.5" thickBot="1" x14ac:dyDescent="0.25">
      <c r="A19" s="1105" t="s">
        <v>531</v>
      </c>
      <c r="B19" s="1106" t="s">
        <v>532</v>
      </c>
      <c r="C19" s="1107">
        <v>0</v>
      </c>
      <c r="D19" s="1107">
        <v>14320845</v>
      </c>
      <c r="E19" s="1107">
        <v>0</v>
      </c>
      <c r="F19" s="1107">
        <v>0</v>
      </c>
      <c r="G19" s="1107">
        <v>0</v>
      </c>
      <c r="H19" s="1107">
        <v>0</v>
      </c>
      <c r="I19" s="1107">
        <v>14320845</v>
      </c>
    </row>
    <row r="20" spans="1:9" ht="26.25" thickBot="1" x14ac:dyDescent="0.25">
      <c r="A20" s="1102" t="s">
        <v>533</v>
      </c>
      <c r="B20" s="1103" t="s">
        <v>534</v>
      </c>
      <c r="C20" s="1104">
        <v>19603577</v>
      </c>
      <c r="D20" s="1104">
        <v>570071196</v>
      </c>
      <c r="E20" s="1104">
        <v>100644965</v>
      </c>
      <c r="F20" s="1104">
        <v>0</v>
      </c>
      <c r="G20" s="1104">
        <v>0</v>
      </c>
      <c r="H20" s="1104">
        <v>2410736</v>
      </c>
      <c r="I20" s="1104">
        <v>692730474</v>
      </c>
    </row>
    <row r="21" spans="1:9" ht="13.5" thickBot="1" x14ac:dyDescent="0.25">
      <c r="A21" s="1102" t="s">
        <v>539</v>
      </c>
      <c r="B21" s="1103" t="s">
        <v>540</v>
      </c>
      <c r="C21" s="1104">
        <v>19603577</v>
      </c>
      <c r="D21" s="1104">
        <v>570071196</v>
      </c>
      <c r="E21" s="1104">
        <v>100644965</v>
      </c>
      <c r="F21" s="1104">
        <v>0</v>
      </c>
      <c r="G21" s="1104">
        <v>0</v>
      </c>
      <c r="H21" s="1104">
        <v>2410736</v>
      </c>
      <c r="I21" s="1104">
        <v>692730474</v>
      </c>
    </row>
    <row r="22" spans="1:9" ht="13.5" thickBot="1" x14ac:dyDescent="0.25">
      <c r="A22" s="1102" t="s">
        <v>541</v>
      </c>
      <c r="B22" s="1103" t="s">
        <v>542</v>
      </c>
      <c r="C22" s="1104">
        <v>2370199</v>
      </c>
      <c r="D22" s="1104">
        <v>2572103382</v>
      </c>
      <c r="E22" s="1104">
        <v>33950781</v>
      </c>
      <c r="F22" s="1104">
        <v>0</v>
      </c>
      <c r="G22" s="1104">
        <v>9047292</v>
      </c>
      <c r="H22" s="1104">
        <v>0</v>
      </c>
      <c r="I22" s="1104">
        <v>2617471654</v>
      </c>
    </row>
    <row r="23" spans="1:9" ht="13.5" thickBot="1" x14ac:dyDescent="0.25">
      <c r="A23" s="1097" t="s">
        <v>543</v>
      </c>
      <c r="B23" s="1098" t="s">
        <v>544</v>
      </c>
      <c r="C23" s="1099">
        <v>19233897</v>
      </c>
      <c r="D23" s="1099">
        <v>4466660</v>
      </c>
      <c r="E23" s="1099">
        <v>67461024</v>
      </c>
      <c r="F23" s="1099">
        <v>0</v>
      </c>
      <c r="G23" s="1099">
        <v>0</v>
      </c>
      <c r="H23" s="1099">
        <v>0</v>
      </c>
      <c r="I23" s="1100">
        <v>91161581</v>
      </c>
    </row>
    <row r="24" spans="1:9" ht="13.5" thickBot="1" x14ac:dyDescent="0.25">
      <c r="A24" s="1089"/>
      <c r="B24" s="1089"/>
      <c r="C24" s="1089"/>
      <c r="D24" s="1089"/>
      <c r="E24" s="1089"/>
      <c r="F24" s="1089"/>
      <c r="G24" s="1089"/>
      <c r="H24" s="1089"/>
      <c r="I24" s="1089"/>
    </row>
    <row r="25" spans="1:9" x14ac:dyDescent="0.2">
      <c r="A25" s="1848" t="s">
        <v>726</v>
      </c>
      <c r="B25" s="1849"/>
      <c r="C25" s="1108"/>
      <c r="D25" s="1108"/>
      <c r="E25" s="1108"/>
      <c r="F25" s="1108"/>
      <c r="G25" s="1108"/>
      <c r="H25" s="1108"/>
      <c r="I25" s="1109"/>
    </row>
    <row r="26" spans="1:9" ht="63" x14ac:dyDescent="0.2">
      <c r="A26" s="1092"/>
      <c r="B26" s="1093" t="s">
        <v>514</v>
      </c>
      <c r="C26" s="1093" t="s">
        <v>515</v>
      </c>
      <c r="D26" s="1093" t="s">
        <v>516</v>
      </c>
      <c r="E26" s="1093" t="s">
        <v>724</v>
      </c>
      <c r="F26" s="1093" t="s">
        <v>723</v>
      </c>
      <c r="G26" s="1093" t="s">
        <v>517</v>
      </c>
      <c r="H26" s="1093" t="s">
        <v>722</v>
      </c>
      <c r="I26" s="1094" t="s">
        <v>518</v>
      </c>
    </row>
    <row r="27" spans="1:9" ht="16.5" thickBot="1" x14ac:dyDescent="0.25">
      <c r="A27" s="1092">
        <v>1</v>
      </c>
      <c r="B27" s="1093">
        <v>2</v>
      </c>
      <c r="C27" s="1093">
        <v>3</v>
      </c>
      <c r="D27" s="1093">
        <v>4</v>
      </c>
      <c r="E27" s="1093">
        <v>5</v>
      </c>
      <c r="F27" s="1093">
        <v>6</v>
      </c>
      <c r="G27" s="1093">
        <v>7</v>
      </c>
      <c r="H27" s="1093">
        <v>8</v>
      </c>
      <c r="I27" s="1094">
        <v>9</v>
      </c>
    </row>
    <row r="28" spans="1:9" ht="26.25" thickBot="1" x14ac:dyDescent="0.25">
      <c r="A28" s="1102" t="s">
        <v>397</v>
      </c>
      <c r="B28" s="1103" t="s">
        <v>519</v>
      </c>
      <c r="C28" s="1104">
        <v>109528</v>
      </c>
      <c r="D28" s="1104">
        <v>0</v>
      </c>
      <c r="E28" s="1104">
        <v>961180</v>
      </c>
      <c r="F28" s="1104">
        <v>0</v>
      </c>
      <c r="G28" s="1104">
        <v>0</v>
      </c>
      <c r="H28" s="1104">
        <v>0</v>
      </c>
      <c r="I28" s="1104">
        <v>1070708</v>
      </c>
    </row>
    <row r="29" spans="1:9" ht="26.25" thickBot="1" x14ac:dyDescent="0.25">
      <c r="A29" s="1105" t="s">
        <v>399</v>
      </c>
      <c r="B29" s="1106" t="s">
        <v>520</v>
      </c>
      <c r="C29" s="1107">
        <v>383413</v>
      </c>
      <c r="D29" s="1107">
        <v>0</v>
      </c>
      <c r="E29" s="1107">
        <v>0</v>
      </c>
      <c r="F29" s="1107">
        <v>0</v>
      </c>
      <c r="G29" s="1107">
        <v>67772</v>
      </c>
      <c r="H29" s="1107">
        <v>0</v>
      </c>
      <c r="I29" s="1107">
        <v>451185</v>
      </c>
    </row>
    <row r="30" spans="1:9" ht="13.5" thickBot="1" x14ac:dyDescent="0.25">
      <c r="A30" s="1105" t="s">
        <v>405</v>
      </c>
      <c r="B30" s="1106" t="s">
        <v>522</v>
      </c>
      <c r="C30" s="1107">
        <v>0</v>
      </c>
      <c r="D30" s="1107">
        <v>0</v>
      </c>
      <c r="E30" s="1107">
        <v>67772</v>
      </c>
      <c r="F30" s="1107">
        <v>0</v>
      </c>
      <c r="G30" s="1107">
        <v>0</v>
      </c>
      <c r="H30" s="1107">
        <v>0</v>
      </c>
      <c r="I30" s="1107">
        <v>67772</v>
      </c>
    </row>
    <row r="31" spans="1:9" ht="13.5" thickBot="1" x14ac:dyDescent="0.25">
      <c r="A31" s="1105" t="s">
        <v>416</v>
      </c>
      <c r="B31" s="1106" t="s">
        <v>523</v>
      </c>
      <c r="C31" s="1107">
        <v>383413</v>
      </c>
      <c r="D31" s="1107">
        <v>0</v>
      </c>
      <c r="E31" s="1107">
        <v>0</v>
      </c>
      <c r="F31" s="1107">
        <v>0</v>
      </c>
      <c r="G31" s="1107">
        <v>0</v>
      </c>
      <c r="H31" s="1107">
        <v>0</v>
      </c>
      <c r="I31" s="1107">
        <v>383413</v>
      </c>
    </row>
    <row r="32" spans="1:9" ht="13.5" thickBot="1" x14ac:dyDescent="0.25">
      <c r="A32" s="1102" t="s">
        <v>418</v>
      </c>
      <c r="B32" s="1103" t="s">
        <v>721</v>
      </c>
      <c r="C32" s="1104">
        <v>766826</v>
      </c>
      <c r="D32" s="1104">
        <v>0</v>
      </c>
      <c r="E32" s="1104">
        <v>67772</v>
      </c>
      <c r="F32" s="1104">
        <v>0</v>
      </c>
      <c r="G32" s="1104">
        <v>67772</v>
      </c>
      <c r="H32" s="1104">
        <v>0</v>
      </c>
      <c r="I32" s="1104">
        <v>902370</v>
      </c>
    </row>
    <row r="33" spans="1:9" ht="13.5" thickBot="1" x14ac:dyDescent="0.25">
      <c r="A33" s="1105" t="s">
        <v>342</v>
      </c>
      <c r="B33" s="1106" t="s">
        <v>526</v>
      </c>
      <c r="C33" s="1107">
        <v>383413</v>
      </c>
      <c r="D33" s="1107">
        <v>0</v>
      </c>
      <c r="E33" s="1107">
        <v>0</v>
      </c>
      <c r="F33" s="1107">
        <v>0</v>
      </c>
      <c r="G33" s="1107">
        <v>67772</v>
      </c>
      <c r="H33" s="1107">
        <v>0</v>
      </c>
      <c r="I33" s="1107">
        <v>451185</v>
      </c>
    </row>
    <row r="34" spans="1:9" ht="13.5" thickBot="1" x14ac:dyDescent="0.25">
      <c r="A34" s="1102" t="s">
        <v>343</v>
      </c>
      <c r="B34" s="1103" t="s">
        <v>527</v>
      </c>
      <c r="C34" s="1104">
        <v>383413</v>
      </c>
      <c r="D34" s="1104">
        <v>0</v>
      </c>
      <c r="E34" s="1104">
        <v>0</v>
      </c>
      <c r="F34" s="1104">
        <v>0</v>
      </c>
      <c r="G34" s="1104">
        <v>67772</v>
      </c>
      <c r="H34" s="1104">
        <v>0</v>
      </c>
      <c r="I34" s="1104">
        <v>451185</v>
      </c>
    </row>
    <row r="35" spans="1:9" ht="13.5" thickBot="1" x14ac:dyDescent="0.25">
      <c r="A35" s="1102" t="s">
        <v>344</v>
      </c>
      <c r="B35" s="1103" t="s">
        <v>720</v>
      </c>
      <c r="C35" s="1104">
        <v>492941</v>
      </c>
      <c r="D35" s="1104">
        <v>0</v>
      </c>
      <c r="E35" s="1104">
        <v>1028952</v>
      </c>
      <c r="F35" s="1104">
        <v>0</v>
      </c>
      <c r="G35" s="1104">
        <v>0</v>
      </c>
      <c r="H35" s="1104">
        <v>0</v>
      </c>
      <c r="I35" s="1104">
        <v>1521893</v>
      </c>
    </row>
    <row r="36" spans="1:9" ht="26.25" thickBot="1" x14ac:dyDescent="0.25">
      <c r="A36" s="1102" t="s">
        <v>345</v>
      </c>
      <c r="B36" s="1103" t="s">
        <v>528</v>
      </c>
      <c r="C36" s="1104">
        <v>109523</v>
      </c>
      <c r="D36" s="1104">
        <v>0</v>
      </c>
      <c r="E36" s="1104">
        <v>624872</v>
      </c>
      <c r="F36" s="1104">
        <v>0</v>
      </c>
      <c r="G36" s="1104">
        <v>0</v>
      </c>
      <c r="H36" s="1104">
        <v>0</v>
      </c>
      <c r="I36" s="1104">
        <v>734395</v>
      </c>
    </row>
    <row r="37" spans="1:9" ht="13.5" thickBot="1" x14ac:dyDescent="0.25">
      <c r="A37" s="1105" t="s">
        <v>529</v>
      </c>
      <c r="B37" s="1106" t="s">
        <v>530</v>
      </c>
      <c r="C37" s="1107">
        <v>5</v>
      </c>
      <c r="D37" s="1107">
        <v>0</v>
      </c>
      <c r="E37" s="1107">
        <v>118016</v>
      </c>
      <c r="F37" s="1107">
        <v>0</v>
      </c>
      <c r="G37" s="1107">
        <v>0</v>
      </c>
      <c r="H37" s="1107">
        <v>0</v>
      </c>
      <c r="I37" s="1107">
        <v>118021</v>
      </c>
    </row>
    <row r="38" spans="1:9" ht="26.25" thickBot="1" x14ac:dyDescent="0.25">
      <c r="A38" s="1102" t="s">
        <v>533</v>
      </c>
      <c r="B38" s="1103" t="s">
        <v>534</v>
      </c>
      <c r="C38" s="1104">
        <v>109528</v>
      </c>
      <c r="D38" s="1104">
        <v>0</v>
      </c>
      <c r="E38" s="1104">
        <v>742888</v>
      </c>
      <c r="F38" s="1104">
        <v>0</v>
      </c>
      <c r="G38" s="1104">
        <v>0</v>
      </c>
      <c r="H38" s="1104">
        <v>0</v>
      </c>
      <c r="I38" s="1104">
        <v>852416</v>
      </c>
    </row>
    <row r="39" spans="1:9" ht="13.5" thickBot="1" x14ac:dyDescent="0.25">
      <c r="A39" s="1102" t="s">
        <v>539</v>
      </c>
      <c r="B39" s="1103" t="s">
        <v>540</v>
      </c>
      <c r="C39" s="1104">
        <v>109528</v>
      </c>
      <c r="D39" s="1104">
        <v>0</v>
      </c>
      <c r="E39" s="1104">
        <v>742888</v>
      </c>
      <c r="F39" s="1104">
        <v>0</v>
      </c>
      <c r="G39" s="1104">
        <v>0</v>
      </c>
      <c r="H39" s="1104">
        <v>0</v>
      </c>
      <c r="I39" s="1104">
        <v>852416</v>
      </c>
    </row>
    <row r="40" spans="1:9" ht="13.5" thickBot="1" x14ac:dyDescent="0.25">
      <c r="A40" s="1102" t="s">
        <v>541</v>
      </c>
      <c r="B40" s="1103" t="s">
        <v>542</v>
      </c>
      <c r="C40" s="1104">
        <v>383413</v>
      </c>
      <c r="D40" s="1104">
        <v>0</v>
      </c>
      <c r="E40" s="1104">
        <v>286064</v>
      </c>
      <c r="F40" s="1104">
        <v>0</v>
      </c>
      <c r="G40" s="1104">
        <v>0</v>
      </c>
      <c r="H40" s="1104">
        <v>0</v>
      </c>
      <c r="I40" s="1104">
        <v>669477</v>
      </c>
    </row>
    <row r="41" spans="1:9" ht="13.5" thickBot="1" x14ac:dyDescent="0.25">
      <c r="A41" s="1097" t="s">
        <v>543</v>
      </c>
      <c r="B41" s="1098" t="s">
        <v>544</v>
      </c>
      <c r="C41" s="1099">
        <v>79200</v>
      </c>
      <c r="D41" s="1099">
        <v>0</v>
      </c>
      <c r="E41" s="1099">
        <v>0</v>
      </c>
      <c r="F41" s="1099">
        <v>0</v>
      </c>
      <c r="G41" s="1099">
        <v>0</v>
      </c>
      <c r="H41" s="1099">
        <v>0</v>
      </c>
      <c r="I41" s="1100">
        <v>79200</v>
      </c>
    </row>
    <row r="42" spans="1:9" ht="13.5" thickBot="1" x14ac:dyDescent="0.25">
      <c r="A42" s="1110"/>
      <c r="B42" s="1095"/>
      <c r="C42" s="1096"/>
      <c r="D42" s="1096"/>
      <c r="E42" s="1096"/>
      <c r="F42" s="1096"/>
      <c r="G42" s="1096"/>
      <c r="H42" s="1096"/>
      <c r="I42" s="1096"/>
    </row>
    <row r="43" spans="1:9" x14ac:dyDescent="0.2">
      <c r="A43" s="1848" t="s">
        <v>727</v>
      </c>
      <c r="B43" s="1849"/>
      <c r="C43" s="1849"/>
      <c r="D43" s="1108"/>
      <c r="E43" s="1108"/>
      <c r="F43" s="1108"/>
      <c r="G43" s="1108"/>
      <c r="H43" s="1108"/>
      <c r="I43" s="1109"/>
    </row>
    <row r="44" spans="1:9" ht="63" x14ac:dyDescent="0.2">
      <c r="A44" s="1092"/>
      <c r="B44" s="1093" t="s">
        <v>514</v>
      </c>
      <c r="C44" s="1093" t="s">
        <v>515</v>
      </c>
      <c r="D44" s="1093" t="s">
        <v>516</v>
      </c>
      <c r="E44" s="1093" t="s">
        <v>724</v>
      </c>
      <c r="F44" s="1093" t="s">
        <v>723</v>
      </c>
      <c r="G44" s="1093" t="s">
        <v>517</v>
      </c>
      <c r="H44" s="1093" t="s">
        <v>722</v>
      </c>
      <c r="I44" s="1094" t="s">
        <v>518</v>
      </c>
    </row>
    <row r="45" spans="1:9" ht="16.5" thickBot="1" x14ac:dyDescent="0.25">
      <c r="A45" s="1092">
        <v>1</v>
      </c>
      <c r="B45" s="1093">
        <v>2</v>
      </c>
      <c r="C45" s="1093">
        <v>3</v>
      </c>
      <c r="D45" s="1093">
        <v>4</v>
      </c>
      <c r="E45" s="1093">
        <v>5</v>
      </c>
      <c r="F45" s="1093">
        <v>6</v>
      </c>
      <c r="G45" s="1093">
        <v>7</v>
      </c>
      <c r="H45" s="1093">
        <v>8</v>
      </c>
      <c r="I45" s="1094">
        <v>9</v>
      </c>
    </row>
    <row r="46" spans="1:9" ht="26.25" thickBot="1" x14ac:dyDescent="0.25">
      <c r="A46" s="1102" t="s">
        <v>397</v>
      </c>
      <c r="B46" s="1103" t="s">
        <v>519</v>
      </c>
      <c r="C46" s="1104">
        <v>550000</v>
      </c>
      <c r="D46" s="1104">
        <v>0</v>
      </c>
      <c r="E46" s="1104">
        <v>1963808</v>
      </c>
      <c r="F46" s="1104">
        <v>0</v>
      </c>
      <c r="G46" s="1104">
        <v>0</v>
      </c>
      <c r="H46" s="1104">
        <v>0</v>
      </c>
      <c r="I46" s="1104">
        <v>2513808</v>
      </c>
    </row>
    <row r="47" spans="1:9" ht="26.25" thickBot="1" x14ac:dyDescent="0.25">
      <c r="A47" s="1105" t="s">
        <v>399</v>
      </c>
      <c r="B47" s="1106" t="s">
        <v>520</v>
      </c>
      <c r="C47" s="1107">
        <v>0</v>
      </c>
      <c r="D47" s="1107">
        <v>0</v>
      </c>
      <c r="E47" s="1107">
        <v>0</v>
      </c>
      <c r="F47" s="1107">
        <v>0</v>
      </c>
      <c r="G47" s="1107">
        <v>686253</v>
      </c>
      <c r="H47" s="1107">
        <v>0</v>
      </c>
      <c r="I47" s="1107">
        <v>686253</v>
      </c>
    </row>
    <row r="48" spans="1:9" ht="13.5" thickBot="1" x14ac:dyDescent="0.25">
      <c r="A48" s="1105" t="s">
        <v>405</v>
      </c>
      <c r="B48" s="1106" t="s">
        <v>522</v>
      </c>
      <c r="C48" s="1107">
        <v>0</v>
      </c>
      <c r="D48" s="1107">
        <v>0</v>
      </c>
      <c r="E48" s="1107">
        <v>686253</v>
      </c>
      <c r="F48" s="1107">
        <v>0</v>
      </c>
      <c r="G48" s="1107">
        <v>0</v>
      </c>
      <c r="H48" s="1107">
        <v>0</v>
      </c>
      <c r="I48" s="1107">
        <v>686253</v>
      </c>
    </row>
    <row r="49" spans="1:9" ht="13.5" thickBot="1" x14ac:dyDescent="0.25">
      <c r="A49" s="1102" t="s">
        <v>418</v>
      </c>
      <c r="B49" s="1103" t="s">
        <v>721</v>
      </c>
      <c r="C49" s="1104">
        <v>0</v>
      </c>
      <c r="D49" s="1104">
        <v>0</v>
      </c>
      <c r="E49" s="1104">
        <v>686253</v>
      </c>
      <c r="F49" s="1104">
        <v>0</v>
      </c>
      <c r="G49" s="1104">
        <v>686253</v>
      </c>
      <c r="H49" s="1104">
        <v>0</v>
      </c>
      <c r="I49" s="1104">
        <v>1372506</v>
      </c>
    </row>
    <row r="50" spans="1:9" ht="13.5" thickBot="1" x14ac:dyDescent="0.25">
      <c r="A50" s="1105" t="s">
        <v>342</v>
      </c>
      <c r="B50" s="1106" t="s">
        <v>526</v>
      </c>
      <c r="C50" s="1107">
        <v>0</v>
      </c>
      <c r="D50" s="1107">
        <v>0</v>
      </c>
      <c r="E50" s="1107">
        <v>0</v>
      </c>
      <c r="F50" s="1107">
        <v>0</v>
      </c>
      <c r="G50" s="1107">
        <v>686253</v>
      </c>
      <c r="H50" s="1107">
        <v>0</v>
      </c>
      <c r="I50" s="1107">
        <v>686253</v>
      </c>
    </row>
    <row r="51" spans="1:9" ht="13.5" thickBot="1" x14ac:dyDescent="0.25">
      <c r="A51" s="1102" t="s">
        <v>343</v>
      </c>
      <c r="B51" s="1103" t="s">
        <v>527</v>
      </c>
      <c r="C51" s="1104">
        <v>0</v>
      </c>
      <c r="D51" s="1104">
        <v>0</v>
      </c>
      <c r="E51" s="1104">
        <v>0</v>
      </c>
      <c r="F51" s="1104">
        <v>0</v>
      </c>
      <c r="G51" s="1104">
        <v>686253</v>
      </c>
      <c r="H51" s="1104">
        <v>0</v>
      </c>
      <c r="I51" s="1104">
        <v>686253</v>
      </c>
    </row>
    <row r="52" spans="1:9" ht="13.5" thickBot="1" x14ac:dyDescent="0.25">
      <c r="A52" s="1102" t="s">
        <v>344</v>
      </c>
      <c r="B52" s="1103" t="s">
        <v>720</v>
      </c>
      <c r="C52" s="1104">
        <v>550000</v>
      </c>
      <c r="D52" s="1104">
        <v>0</v>
      </c>
      <c r="E52" s="1104">
        <v>2650061</v>
      </c>
      <c r="F52" s="1104">
        <v>0</v>
      </c>
      <c r="G52" s="1104">
        <v>0</v>
      </c>
      <c r="H52" s="1104">
        <v>0</v>
      </c>
      <c r="I52" s="1104">
        <v>3200061</v>
      </c>
    </row>
    <row r="53" spans="1:9" ht="26.25" thickBot="1" x14ac:dyDescent="0.25">
      <c r="A53" s="1102" t="s">
        <v>345</v>
      </c>
      <c r="B53" s="1103" t="s">
        <v>528</v>
      </c>
      <c r="C53" s="1104">
        <v>550000</v>
      </c>
      <c r="D53" s="1104">
        <v>0</v>
      </c>
      <c r="E53" s="1104">
        <v>1963808</v>
      </c>
      <c r="F53" s="1104">
        <v>0</v>
      </c>
      <c r="G53" s="1104">
        <v>0</v>
      </c>
      <c r="H53" s="1104">
        <v>0</v>
      </c>
      <c r="I53" s="1104">
        <v>2513808</v>
      </c>
    </row>
    <row r="54" spans="1:9" ht="13.5" thickBot="1" x14ac:dyDescent="0.25">
      <c r="A54" s="1105" t="s">
        <v>529</v>
      </c>
      <c r="B54" s="1106" t="s">
        <v>530</v>
      </c>
      <c r="C54" s="1107">
        <v>0</v>
      </c>
      <c r="D54" s="1107">
        <v>0</v>
      </c>
      <c r="E54" s="1107">
        <v>686253</v>
      </c>
      <c r="F54" s="1107">
        <v>0</v>
      </c>
      <c r="G54" s="1107">
        <v>0</v>
      </c>
      <c r="H54" s="1107">
        <v>0</v>
      </c>
      <c r="I54" s="1107">
        <v>686253</v>
      </c>
    </row>
    <row r="55" spans="1:9" ht="26.25" thickBot="1" x14ac:dyDescent="0.25">
      <c r="A55" s="1102" t="s">
        <v>533</v>
      </c>
      <c r="B55" s="1103" t="s">
        <v>534</v>
      </c>
      <c r="C55" s="1104">
        <v>550000</v>
      </c>
      <c r="D55" s="1104">
        <v>0</v>
      </c>
      <c r="E55" s="1104">
        <v>2650061</v>
      </c>
      <c r="F55" s="1104">
        <v>0</v>
      </c>
      <c r="G55" s="1104">
        <v>0</v>
      </c>
      <c r="H55" s="1104">
        <v>0</v>
      </c>
      <c r="I55" s="1104">
        <v>3200061</v>
      </c>
    </row>
    <row r="56" spans="1:9" ht="13.5" thickBot="1" x14ac:dyDescent="0.25">
      <c r="A56" s="1102" t="s">
        <v>539</v>
      </c>
      <c r="B56" s="1103" t="s">
        <v>540</v>
      </c>
      <c r="C56" s="1104">
        <v>550000</v>
      </c>
      <c r="D56" s="1104">
        <v>0</v>
      </c>
      <c r="E56" s="1104">
        <v>2650061</v>
      </c>
      <c r="F56" s="1104">
        <v>0</v>
      </c>
      <c r="G56" s="1104">
        <v>0</v>
      </c>
      <c r="H56" s="1104">
        <v>0</v>
      </c>
      <c r="I56" s="1104">
        <v>3200061</v>
      </c>
    </row>
    <row r="57" spans="1:9" ht="13.5" thickBot="1" x14ac:dyDescent="0.25">
      <c r="A57" s="1097" t="s">
        <v>543</v>
      </c>
      <c r="B57" s="1098" t="s">
        <v>544</v>
      </c>
      <c r="C57" s="1099">
        <v>550000</v>
      </c>
      <c r="D57" s="1099">
        <v>0</v>
      </c>
      <c r="E57" s="1099">
        <v>1493196</v>
      </c>
      <c r="F57" s="1099">
        <v>0</v>
      </c>
      <c r="G57" s="1099">
        <v>0</v>
      </c>
      <c r="H57" s="1099">
        <v>0</v>
      </c>
      <c r="I57" s="1100">
        <v>2043196</v>
      </c>
    </row>
    <row r="58" spans="1:9" ht="13.5" thickBot="1" x14ac:dyDescent="0.25">
      <c r="A58" s="1089"/>
      <c r="B58" s="1089"/>
      <c r="C58" s="1089"/>
      <c r="D58" s="1089"/>
      <c r="E58" s="1089"/>
      <c r="F58" s="1089"/>
      <c r="G58" s="1089"/>
      <c r="H58" s="1089"/>
      <c r="I58" s="1089"/>
    </row>
    <row r="59" spans="1:9" x14ac:dyDescent="0.2">
      <c r="A59" s="1844" t="s">
        <v>728</v>
      </c>
      <c r="B59" s="1845"/>
      <c r="C59" s="1108"/>
      <c r="D59" s="1108"/>
      <c r="E59" s="1108"/>
      <c r="F59" s="1108"/>
      <c r="G59" s="1108"/>
      <c r="H59" s="1108"/>
      <c r="I59" s="1109"/>
    </row>
    <row r="60" spans="1:9" ht="63.75" thickBot="1" x14ac:dyDescent="0.25">
      <c r="A60" s="1092" t="s">
        <v>693</v>
      </c>
      <c r="B60" s="1093" t="s">
        <v>514</v>
      </c>
      <c r="C60" s="1093" t="s">
        <v>515</v>
      </c>
      <c r="D60" s="1093" t="s">
        <v>516</v>
      </c>
      <c r="E60" s="1093" t="s">
        <v>724</v>
      </c>
      <c r="F60" s="1093" t="s">
        <v>723</v>
      </c>
      <c r="G60" s="1093" t="s">
        <v>517</v>
      </c>
      <c r="H60" s="1093" t="s">
        <v>722</v>
      </c>
      <c r="I60" s="1094" t="s">
        <v>518</v>
      </c>
    </row>
    <row r="61" spans="1:9" ht="26.25" thickBot="1" x14ac:dyDescent="0.25">
      <c r="A61" s="1102" t="s">
        <v>397</v>
      </c>
      <c r="B61" s="1103" t="s">
        <v>519</v>
      </c>
      <c r="C61" s="1104">
        <v>0</v>
      </c>
      <c r="D61" s="1104">
        <v>0</v>
      </c>
      <c r="E61" s="1104">
        <v>816562</v>
      </c>
      <c r="F61" s="1104">
        <v>0</v>
      </c>
      <c r="G61" s="1104">
        <v>0</v>
      </c>
      <c r="H61" s="1104">
        <v>0</v>
      </c>
      <c r="I61" s="1104">
        <v>816562</v>
      </c>
    </row>
    <row r="62" spans="1:9" ht="26.25" thickBot="1" x14ac:dyDescent="0.25">
      <c r="A62" s="1105" t="s">
        <v>399</v>
      </c>
      <c r="B62" s="1106" t="s">
        <v>520</v>
      </c>
      <c r="C62" s="1107">
        <v>0</v>
      </c>
      <c r="D62" s="1107">
        <v>0</v>
      </c>
      <c r="E62" s="1107">
        <v>0</v>
      </c>
      <c r="F62" s="1107">
        <v>0</v>
      </c>
      <c r="G62" s="1107">
        <v>159130</v>
      </c>
      <c r="H62" s="1107">
        <v>0</v>
      </c>
      <c r="I62" s="1107">
        <v>159130</v>
      </c>
    </row>
    <row r="63" spans="1:9" ht="13.5" thickBot="1" x14ac:dyDescent="0.25">
      <c r="A63" s="1105" t="s">
        <v>405</v>
      </c>
      <c r="B63" s="1106" t="s">
        <v>522</v>
      </c>
      <c r="C63" s="1107">
        <v>0</v>
      </c>
      <c r="D63" s="1107">
        <v>0</v>
      </c>
      <c r="E63" s="1107">
        <v>159130</v>
      </c>
      <c r="F63" s="1107">
        <v>0</v>
      </c>
      <c r="G63" s="1107">
        <v>0</v>
      </c>
      <c r="H63" s="1107">
        <v>0</v>
      </c>
      <c r="I63" s="1107">
        <v>159130</v>
      </c>
    </row>
    <row r="64" spans="1:9" ht="13.5" thickBot="1" x14ac:dyDescent="0.25">
      <c r="A64" s="1102" t="s">
        <v>418</v>
      </c>
      <c r="B64" s="1103" t="s">
        <v>721</v>
      </c>
      <c r="C64" s="1104">
        <v>0</v>
      </c>
      <c r="D64" s="1104">
        <v>0</v>
      </c>
      <c r="E64" s="1104">
        <v>159130</v>
      </c>
      <c r="F64" s="1104">
        <v>0</v>
      </c>
      <c r="G64" s="1104">
        <v>159130</v>
      </c>
      <c r="H64" s="1104">
        <v>0</v>
      </c>
      <c r="I64" s="1104">
        <v>318260</v>
      </c>
    </row>
    <row r="65" spans="1:9" ht="13.5" thickBot="1" x14ac:dyDescent="0.25">
      <c r="A65" s="1105" t="s">
        <v>342</v>
      </c>
      <c r="B65" s="1106" t="s">
        <v>526</v>
      </c>
      <c r="C65" s="1107">
        <v>0</v>
      </c>
      <c r="D65" s="1107">
        <v>0</v>
      </c>
      <c r="E65" s="1107">
        <v>0</v>
      </c>
      <c r="F65" s="1107">
        <v>0</v>
      </c>
      <c r="G65" s="1107">
        <v>159130</v>
      </c>
      <c r="H65" s="1107">
        <v>0</v>
      </c>
      <c r="I65" s="1107">
        <v>159130</v>
      </c>
    </row>
    <row r="66" spans="1:9" ht="13.5" thickBot="1" x14ac:dyDescent="0.25">
      <c r="A66" s="1102" t="s">
        <v>343</v>
      </c>
      <c r="B66" s="1103" t="s">
        <v>527</v>
      </c>
      <c r="C66" s="1104">
        <v>0</v>
      </c>
      <c r="D66" s="1104">
        <v>0</v>
      </c>
      <c r="E66" s="1104">
        <v>0</v>
      </c>
      <c r="F66" s="1104">
        <v>0</v>
      </c>
      <c r="G66" s="1104">
        <v>159130</v>
      </c>
      <c r="H66" s="1104">
        <v>0</v>
      </c>
      <c r="I66" s="1104">
        <v>159130</v>
      </c>
    </row>
    <row r="67" spans="1:9" ht="13.5" thickBot="1" x14ac:dyDescent="0.25">
      <c r="A67" s="1102" t="s">
        <v>344</v>
      </c>
      <c r="B67" s="1103" t="s">
        <v>720</v>
      </c>
      <c r="C67" s="1104">
        <v>0</v>
      </c>
      <c r="D67" s="1104">
        <v>0</v>
      </c>
      <c r="E67" s="1104">
        <v>975692</v>
      </c>
      <c r="F67" s="1104">
        <v>0</v>
      </c>
      <c r="G67" s="1104">
        <v>0</v>
      </c>
      <c r="H67" s="1104">
        <v>0</v>
      </c>
      <c r="I67" s="1104">
        <v>975692</v>
      </c>
    </row>
    <row r="68" spans="1:9" ht="26.25" thickBot="1" x14ac:dyDescent="0.25">
      <c r="A68" s="1102" t="s">
        <v>345</v>
      </c>
      <c r="B68" s="1103" t="s">
        <v>528</v>
      </c>
      <c r="C68" s="1104">
        <v>0</v>
      </c>
      <c r="D68" s="1104">
        <v>0</v>
      </c>
      <c r="E68" s="1104">
        <v>816562</v>
      </c>
      <c r="F68" s="1104">
        <v>0</v>
      </c>
      <c r="G68" s="1104">
        <v>0</v>
      </c>
      <c r="H68" s="1104">
        <v>0</v>
      </c>
      <c r="I68" s="1104">
        <v>816562</v>
      </c>
    </row>
    <row r="69" spans="1:9" ht="13.5" thickBot="1" x14ac:dyDescent="0.25">
      <c r="A69" s="1105" t="s">
        <v>529</v>
      </c>
      <c r="B69" s="1106" t="s">
        <v>530</v>
      </c>
      <c r="C69" s="1107">
        <v>0</v>
      </c>
      <c r="D69" s="1107">
        <v>0</v>
      </c>
      <c r="E69" s="1107">
        <v>159130</v>
      </c>
      <c r="F69" s="1107">
        <v>0</v>
      </c>
      <c r="G69" s="1107">
        <v>0</v>
      </c>
      <c r="H69" s="1107">
        <v>0</v>
      </c>
      <c r="I69" s="1107">
        <v>159130</v>
      </c>
    </row>
    <row r="70" spans="1:9" ht="26.25" thickBot="1" x14ac:dyDescent="0.25">
      <c r="A70" s="1102" t="s">
        <v>533</v>
      </c>
      <c r="B70" s="1103" t="s">
        <v>534</v>
      </c>
      <c r="C70" s="1104">
        <v>0</v>
      </c>
      <c r="D70" s="1104">
        <v>0</v>
      </c>
      <c r="E70" s="1104">
        <v>975692</v>
      </c>
      <c r="F70" s="1104">
        <v>0</v>
      </c>
      <c r="G70" s="1104">
        <v>0</v>
      </c>
      <c r="H70" s="1104">
        <v>0</v>
      </c>
      <c r="I70" s="1104">
        <v>975692</v>
      </c>
    </row>
    <row r="71" spans="1:9" ht="13.5" thickBot="1" x14ac:dyDescent="0.25">
      <c r="A71" s="1102" t="s">
        <v>539</v>
      </c>
      <c r="B71" s="1103" t="s">
        <v>540</v>
      </c>
      <c r="C71" s="1104">
        <v>0</v>
      </c>
      <c r="D71" s="1104">
        <v>0</v>
      </c>
      <c r="E71" s="1104">
        <v>975692</v>
      </c>
      <c r="F71" s="1104">
        <v>0</v>
      </c>
      <c r="G71" s="1104">
        <v>0</v>
      </c>
      <c r="H71" s="1104">
        <v>0</v>
      </c>
      <c r="I71" s="1104">
        <v>975692</v>
      </c>
    </row>
    <row r="72" spans="1:9" ht="13.5" thickBot="1" x14ac:dyDescent="0.25">
      <c r="A72" s="1111"/>
      <c r="B72" s="1112"/>
      <c r="C72" s="1112"/>
      <c r="D72" s="1112"/>
      <c r="E72" s="1112"/>
      <c r="F72" s="1112"/>
      <c r="G72" s="1112"/>
      <c r="H72" s="1112"/>
      <c r="I72" s="1113"/>
    </row>
    <row r="73" spans="1:9" x14ac:dyDescent="0.2">
      <c r="A73" s="1089"/>
      <c r="B73" s="1089"/>
      <c r="C73" s="1089"/>
      <c r="D73" s="1089"/>
      <c r="E73" s="1089"/>
      <c r="F73" s="1089"/>
      <c r="G73" s="1089"/>
      <c r="H73" s="1089"/>
      <c r="I73" s="1089"/>
    </row>
    <row r="74" spans="1:9" x14ac:dyDescent="0.2">
      <c r="A74" s="1089"/>
      <c r="B74" s="1089"/>
      <c r="C74" s="1089"/>
      <c r="D74" s="1089"/>
      <c r="E74" s="1089"/>
      <c r="F74" s="1089"/>
      <c r="G74" s="1089"/>
      <c r="H74" s="1089"/>
      <c r="I74" s="1089"/>
    </row>
    <row r="75" spans="1:9" x14ac:dyDescent="0.2">
      <c r="A75" s="1089"/>
      <c r="B75" s="1089"/>
      <c r="C75" s="1089"/>
      <c r="D75" s="1089"/>
      <c r="E75" s="1089"/>
      <c r="F75" s="1089"/>
      <c r="G75" s="1089"/>
      <c r="H75" s="1089"/>
      <c r="I75" s="1089"/>
    </row>
    <row r="76" spans="1:9" x14ac:dyDescent="0.2">
      <c r="A76" s="1089"/>
      <c r="B76" s="1089"/>
      <c r="C76" s="1089"/>
      <c r="D76" s="1089"/>
      <c r="E76" s="1089"/>
      <c r="F76" s="1089"/>
      <c r="G76" s="1089"/>
      <c r="H76" s="1089"/>
      <c r="I76" s="1089"/>
    </row>
    <row r="77" spans="1:9" x14ac:dyDescent="0.2">
      <c r="A77" s="1089"/>
      <c r="B77" s="1089"/>
      <c r="C77" s="1089"/>
      <c r="D77" s="1089"/>
      <c r="E77" s="1089"/>
      <c r="F77" s="1089"/>
      <c r="G77" s="1089"/>
      <c r="H77" s="1089"/>
      <c r="I77" s="1089"/>
    </row>
    <row r="78" spans="1:9" x14ac:dyDescent="0.2">
      <c r="A78" s="1089"/>
      <c r="B78" s="1089"/>
      <c r="C78" s="1089"/>
      <c r="D78" s="1089"/>
      <c r="E78" s="1089"/>
      <c r="F78" s="1089"/>
      <c r="G78" s="1089"/>
      <c r="H78" s="1089"/>
      <c r="I78" s="1089"/>
    </row>
    <row r="79" spans="1:9" x14ac:dyDescent="0.2">
      <c r="A79" s="1089"/>
      <c r="B79" s="1089"/>
      <c r="C79" s="1089"/>
      <c r="D79" s="1089"/>
      <c r="E79" s="1089"/>
      <c r="F79" s="1089"/>
      <c r="G79" s="1089"/>
      <c r="H79" s="1089"/>
      <c r="I79" s="1089"/>
    </row>
    <row r="80" spans="1:9" x14ac:dyDescent="0.2">
      <c r="A80" s="1089"/>
      <c r="B80" s="1089"/>
      <c r="C80" s="1089"/>
      <c r="D80" s="1089"/>
      <c r="E80" s="1089"/>
      <c r="F80" s="1089"/>
      <c r="G80" s="1089"/>
      <c r="H80" s="1089"/>
      <c r="I80" s="1089"/>
    </row>
    <row r="81" spans="1:9" x14ac:dyDescent="0.2">
      <c r="A81" s="1089"/>
      <c r="B81" s="1089"/>
      <c r="C81" s="1089"/>
      <c r="D81" s="1089"/>
      <c r="E81" s="1089"/>
      <c r="F81" s="1089"/>
      <c r="G81" s="1089"/>
      <c r="H81" s="1089"/>
      <c r="I81" s="1089"/>
    </row>
    <row r="82" spans="1:9" x14ac:dyDescent="0.2">
      <c r="A82" s="1089"/>
      <c r="B82" s="1089"/>
      <c r="C82" s="1089"/>
      <c r="D82" s="1089"/>
      <c r="E82" s="1089"/>
      <c r="F82" s="1089"/>
      <c r="G82" s="1089"/>
      <c r="H82" s="1089"/>
      <c r="I82" s="1089"/>
    </row>
    <row r="83" spans="1:9" x14ac:dyDescent="0.2">
      <c r="A83" s="1089"/>
      <c r="B83" s="1089"/>
      <c r="C83" s="1089"/>
      <c r="D83" s="1089"/>
      <c r="E83" s="1089"/>
      <c r="F83" s="1089"/>
      <c r="G83" s="1089"/>
      <c r="H83" s="1089"/>
      <c r="I83" s="1089"/>
    </row>
    <row r="84" spans="1:9" x14ac:dyDescent="0.2">
      <c r="A84" s="1089"/>
      <c r="B84" s="1089"/>
      <c r="C84" s="1089"/>
      <c r="D84" s="1089"/>
      <c r="E84" s="1089"/>
      <c r="F84" s="1089"/>
      <c r="G84" s="1089"/>
      <c r="H84" s="1089"/>
      <c r="I84" s="1089"/>
    </row>
    <row r="85" spans="1:9" x14ac:dyDescent="0.2">
      <c r="A85" s="1089"/>
      <c r="B85" s="1089"/>
      <c r="C85" s="1089"/>
      <c r="D85" s="1089"/>
      <c r="E85" s="1089"/>
      <c r="F85" s="1089"/>
      <c r="G85" s="1089"/>
      <c r="H85" s="1089"/>
      <c r="I85" s="1089"/>
    </row>
    <row r="86" spans="1:9" x14ac:dyDescent="0.2">
      <c r="A86" s="1089"/>
      <c r="B86" s="1089"/>
      <c r="C86" s="1089"/>
      <c r="D86" s="1089"/>
      <c r="E86" s="1089"/>
      <c r="F86" s="1089"/>
      <c r="G86" s="1089"/>
      <c r="H86" s="1089"/>
      <c r="I86" s="1089"/>
    </row>
    <row r="87" spans="1:9" x14ac:dyDescent="0.2">
      <c r="A87" s="1089"/>
      <c r="B87" s="1089"/>
      <c r="C87" s="1089"/>
      <c r="D87" s="1089"/>
      <c r="E87" s="1089"/>
      <c r="F87" s="1089"/>
      <c r="G87" s="1089"/>
      <c r="H87" s="1089"/>
      <c r="I87" s="1089"/>
    </row>
    <row r="88" spans="1:9" x14ac:dyDescent="0.2">
      <c r="A88" s="1089"/>
      <c r="B88" s="1089"/>
      <c r="C88" s="1089"/>
      <c r="D88" s="1089"/>
      <c r="E88" s="1089"/>
      <c r="F88" s="1089"/>
      <c r="G88" s="1089"/>
      <c r="H88" s="1089"/>
      <c r="I88" s="1089"/>
    </row>
    <row r="89" spans="1:9" x14ac:dyDescent="0.2">
      <c r="A89" s="1089"/>
      <c r="B89" s="1089"/>
      <c r="C89" s="1089"/>
      <c r="D89" s="1089"/>
      <c r="E89" s="1089"/>
      <c r="F89" s="1089"/>
      <c r="G89" s="1089"/>
      <c r="H89" s="1089"/>
      <c r="I89" s="1089"/>
    </row>
    <row r="90" spans="1:9" x14ac:dyDescent="0.2">
      <c r="A90" s="1089"/>
      <c r="B90" s="1089"/>
      <c r="C90" s="1089"/>
      <c r="D90" s="1089"/>
      <c r="E90" s="1089"/>
      <c r="F90" s="1089"/>
      <c r="G90" s="1089"/>
      <c r="H90" s="1089"/>
      <c r="I90" s="1089"/>
    </row>
    <row r="91" spans="1:9" x14ac:dyDescent="0.2">
      <c r="A91" s="1089"/>
      <c r="B91" s="1089"/>
      <c r="C91" s="1089"/>
      <c r="D91" s="1089"/>
      <c r="E91" s="1089"/>
      <c r="F91" s="1089"/>
      <c r="G91" s="1089"/>
      <c r="H91" s="1089"/>
      <c r="I91" s="1089"/>
    </row>
    <row r="92" spans="1:9" x14ac:dyDescent="0.2">
      <c r="A92" s="1089"/>
      <c r="B92" s="1089"/>
      <c r="C92" s="1089"/>
      <c r="D92" s="1089"/>
      <c r="E92" s="1089"/>
      <c r="F92" s="1089"/>
      <c r="G92" s="1089"/>
      <c r="H92" s="1089"/>
      <c r="I92" s="1089"/>
    </row>
    <row r="93" spans="1:9" x14ac:dyDescent="0.2">
      <c r="A93" s="1089"/>
      <c r="B93" s="1089"/>
      <c r="C93" s="1089"/>
      <c r="D93" s="1089"/>
      <c r="E93" s="1089"/>
      <c r="F93" s="1089"/>
      <c r="G93" s="1089"/>
      <c r="H93" s="1089"/>
      <c r="I93" s="1089"/>
    </row>
    <row r="94" spans="1:9" x14ac:dyDescent="0.2">
      <c r="A94" s="1089"/>
      <c r="B94" s="1089"/>
      <c r="C94" s="1089"/>
      <c r="D94" s="1089"/>
      <c r="E94" s="1089"/>
      <c r="F94" s="1089"/>
      <c r="G94" s="1089"/>
      <c r="H94" s="1089"/>
      <c r="I94" s="1089"/>
    </row>
    <row r="95" spans="1:9" x14ac:dyDescent="0.2">
      <c r="A95" s="1089"/>
      <c r="B95" s="1089"/>
      <c r="C95" s="1089"/>
      <c r="D95" s="1089"/>
      <c r="E95" s="1089"/>
      <c r="F95" s="1089"/>
      <c r="G95" s="1089"/>
      <c r="H95" s="1089"/>
      <c r="I95" s="1089"/>
    </row>
    <row r="96" spans="1:9" x14ac:dyDescent="0.2">
      <c r="A96" s="1089"/>
      <c r="B96" s="1089"/>
      <c r="C96" s="1089"/>
      <c r="D96" s="1089"/>
      <c r="E96" s="1089"/>
      <c r="F96" s="1089"/>
      <c r="G96" s="1089"/>
      <c r="H96" s="1089"/>
      <c r="I96" s="1089"/>
    </row>
    <row r="97" spans="1:9" x14ac:dyDescent="0.2">
      <c r="A97" s="1089"/>
      <c r="B97" s="1089"/>
      <c r="C97" s="1089"/>
      <c r="D97" s="1089"/>
      <c r="E97" s="1089"/>
      <c r="F97" s="1089"/>
      <c r="G97" s="1089"/>
      <c r="H97" s="1089"/>
      <c r="I97" s="1089"/>
    </row>
    <row r="98" spans="1:9" x14ac:dyDescent="0.2">
      <c r="A98" s="1089"/>
      <c r="B98" s="1089"/>
      <c r="C98" s="1089"/>
      <c r="D98" s="1089"/>
      <c r="E98" s="1089"/>
      <c r="F98" s="1089"/>
      <c r="G98" s="1089"/>
      <c r="H98" s="1089"/>
      <c r="I98" s="1089"/>
    </row>
    <row r="99" spans="1:9" x14ac:dyDescent="0.2">
      <c r="A99" s="1089"/>
      <c r="B99" s="1089"/>
      <c r="C99" s="1089"/>
      <c r="D99" s="1089"/>
      <c r="E99" s="1089"/>
      <c r="F99" s="1089"/>
      <c r="G99" s="1089"/>
      <c r="H99" s="1089"/>
      <c r="I99" s="1089"/>
    </row>
    <row r="100" spans="1:9" x14ac:dyDescent="0.2">
      <c r="A100" s="1089"/>
      <c r="B100" s="1089"/>
      <c r="C100" s="1089"/>
      <c r="D100" s="1089"/>
      <c r="E100" s="1089"/>
      <c r="F100" s="1089"/>
      <c r="G100" s="1089"/>
      <c r="H100" s="1089"/>
      <c r="I100" s="1089"/>
    </row>
    <row r="101" spans="1:9" x14ac:dyDescent="0.2">
      <c r="A101" s="1089"/>
      <c r="B101" s="1089"/>
      <c r="C101" s="1089"/>
      <c r="D101" s="1089"/>
      <c r="E101" s="1089"/>
      <c r="F101" s="1089"/>
      <c r="G101" s="1089"/>
      <c r="H101" s="1089"/>
      <c r="I101" s="1089"/>
    </row>
    <row r="102" spans="1:9" x14ac:dyDescent="0.2">
      <c r="A102" s="1089"/>
      <c r="B102" s="1089"/>
      <c r="C102" s="1089"/>
      <c r="D102" s="1089"/>
      <c r="E102" s="1089"/>
      <c r="F102" s="1089"/>
      <c r="G102" s="1089"/>
      <c r="H102" s="1089"/>
      <c r="I102" s="1089"/>
    </row>
    <row r="103" spans="1:9" x14ac:dyDescent="0.2">
      <c r="A103" s="1089"/>
      <c r="B103" s="1089"/>
      <c r="C103" s="1089"/>
      <c r="D103" s="1089"/>
      <c r="E103" s="1089"/>
      <c r="F103" s="1089"/>
      <c r="G103" s="1089"/>
      <c r="H103" s="1089"/>
      <c r="I103" s="1089"/>
    </row>
    <row r="104" spans="1:9" x14ac:dyDescent="0.2">
      <c r="A104" s="1089"/>
      <c r="B104" s="1089"/>
      <c r="C104" s="1089"/>
      <c r="D104" s="1089"/>
      <c r="E104" s="1089"/>
      <c r="F104" s="1089"/>
      <c r="G104" s="1089"/>
      <c r="H104" s="1089"/>
      <c r="I104" s="1089"/>
    </row>
    <row r="105" spans="1:9" x14ac:dyDescent="0.2">
      <c r="A105" s="1089"/>
      <c r="B105" s="1089"/>
      <c r="C105" s="1089"/>
      <c r="D105" s="1089"/>
      <c r="E105" s="1089"/>
      <c r="F105" s="1089"/>
      <c r="G105" s="1089"/>
      <c r="H105" s="1089"/>
      <c r="I105" s="1089"/>
    </row>
    <row r="106" spans="1:9" x14ac:dyDescent="0.2">
      <c r="A106" s="1089"/>
      <c r="B106" s="1089"/>
      <c r="C106" s="1089"/>
      <c r="D106" s="1089"/>
      <c r="E106" s="1089"/>
      <c r="F106" s="1089"/>
      <c r="G106" s="1089"/>
      <c r="H106" s="1089"/>
      <c r="I106" s="1089"/>
    </row>
    <row r="107" spans="1:9" x14ac:dyDescent="0.2">
      <c r="A107" s="1089"/>
      <c r="B107" s="1089"/>
      <c r="C107" s="1089"/>
      <c r="D107" s="1089"/>
      <c r="E107" s="1089"/>
      <c r="F107" s="1089"/>
      <c r="G107" s="1089"/>
      <c r="H107" s="1089"/>
      <c r="I107" s="1089"/>
    </row>
    <row r="108" spans="1:9" x14ac:dyDescent="0.2">
      <c r="A108" s="1089"/>
      <c r="B108" s="1089"/>
      <c r="C108" s="1089"/>
      <c r="D108" s="1089"/>
      <c r="E108" s="1089"/>
      <c r="F108" s="1089"/>
      <c r="G108" s="1089"/>
      <c r="H108" s="1089"/>
      <c r="I108" s="1089"/>
    </row>
    <row r="109" spans="1:9" x14ac:dyDescent="0.2">
      <c r="A109" s="1089"/>
      <c r="B109" s="1089"/>
      <c r="C109" s="1089"/>
      <c r="D109" s="1089"/>
      <c r="E109" s="1089"/>
      <c r="F109" s="1089"/>
      <c r="G109" s="1089"/>
      <c r="H109" s="1089"/>
      <c r="I109" s="1089"/>
    </row>
    <row r="110" spans="1:9" x14ac:dyDescent="0.2">
      <c r="A110" s="1089"/>
      <c r="B110" s="1089"/>
      <c r="C110" s="1089"/>
      <c r="D110" s="1089"/>
      <c r="E110" s="1089"/>
      <c r="F110" s="1089"/>
      <c r="G110" s="1089"/>
      <c r="H110" s="1089"/>
      <c r="I110" s="1089"/>
    </row>
    <row r="111" spans="1:9" x14ac:dyDescent="0.2">
      <c r="A111" s="1089"/>
      <c r="B111" s="1089"/>
      <c r="C111" s="1089"/>
      <c r="D111" s="1089"/>
      <c r="E111" s="1089"/>
      <c r="F111" s="1089"/>
      <c r="G111" s="1089"/>
      <c r="H111" s="1089"/>
      <c r="I111" s="1089"/>
    </row>
    <row r="112" spans="1:9" x14ac:dyDescent="0.2">
      <c r="A112" s="1089"/>
      <c r="B112" s="1089"/>
      <c r="C112" s="1089"/>
      <c r="D112" s="1089"/>
      <c r="E112" s="1089"/>
      <c r="F112" s="1089"/>
      <c r="G112" s="1089"/>
      <c r="H112" s="1089"/>
      <c r="I112" s="1089"/>
    </row>
    <row r="113" spans="1:9" x14ac:dyDescent="0.2">
      <c r="A113" s="1089"/>
      <c r="B113" s="1089"/>
      <c r="C113" s="1089"/>
      <c r="D113" s="1089"/>
      <c r="E113" s="1089"/>
      <c r="F113" s="1089"/>
      <c r="G113" s="1089"/>
      <c r="H113" s="1089"/>
      <c r="I113" s="1089"/>
    </row>
    <row r="114" spans="1:9" x14ac:dyDescent="0.2">
      <c r="A114" s="1089"/>
      <c r="B114" s="1089"/>
      <c r="C114" s="1089"/>
      <c r="D114" s="1089"/>
      <c r="E114" s="1089"/>
      <c r="F114" s="1089"/>
      <c r="G114" s="1089"/>
      <c r="H114" s="1089"/>
      <c r="I114" s="1089"/>
    </row>
    <row r="115" spans="1:9" x14ac:dyDescent="0.2">
      <c r="A115" s="1089"/>
      <c r="B115" s="1089"/>
      <c r="C115" s="1089"/>
      <c r="D115" s="1089"/>
      <c r="E115" s="1089"/>
      <c r="F115" s="1089"/>
      <c r="G115" s="1089"/>
      <c r="H115" s="1089"/>
      <c r="I115" s="1089"/>
    </row>
    <row r="116" spans="1:9" x14ac:dyDescent="0.2">
      <c r="A116" s="1089"/>
      <c r="B116" s="1089"/>
      <c r="C116" s="1089"/>
      <c r="D116" s="1089"/>
      <c r="E116" s="1089"/>
      <c r="F116" s="1089"/>
      <c r="G116" s="1089"/>
      <c r="H116" s="1089"/>
      <c r="I116" s="1089"/>
    </row>
    <row r="117" spans="1:9" x14ac:dyDescent="0.2">
      <c r="A117" s="1089"/>
      <c r="B117" s="1089"/>
      <c r="C117" s="1089"/>
      <c r="D117" s="1089"/>
      <c r="E117" s="1089"/>
      <c r="F117" s="1089"/>
      <c r="G117" s="1089"/>
      <c r="H117" s="1089"/>
      <c r="I117" s="1089"/>
    </row>
    <row r="118" spans="1:9" x14ac:dyDescent="0.2">
      <c r="A118" s="1089"/>
      <c r="B118" s="1089"/>
      <c r="C118" s="1089"/>
      <c r="D118" s="1089"/>
      <c r="E118" s="1089"/>
      <c r="F118" s="1089"/>
      <c r="G118" s="1089"/>
      <c r="H118" s="1089"/>
      <c r="I118" s="1089"/>
    </row>
    <row r="119" spans="1:9" x14ac:dyDescent="0.2">
      <c r="A119" s="1089"/>
      <c r="B119" s="1089"/>
      <c r="C119" s="1089"/>
      <c r="D119" s="1089"/>
      <c r="E119" s="1089"/>
      <c r="F119" s="1089"/>
      <c r="G119" s="1089"/>
      <c r="H119" s="1089"/>
      <c r="I119" s="1089"/>
    </row>
    <row r="120" spans="1:9" x14ac:dyDescent="0.2">
      <c r="A120" s="1089"/>
      <c r="B120" s="1089"/>
      <c r="C120" s="1089"/>
      <c r="D120" s="1089"/>
      <c r="E120" s="1089"/>
      <c r="F120" s="1089"/>
      <c r="G120" s="1089"/>
      <c r="H120" s="1089"/>
      <c r="I120" s="1089"/>
    </row>
    <row r="121" spans="1:9" x14ac:dyDescent="0.2">
      <c r="A121" s="1089"/>
      <c r="B121" s="1089"/>
      <c r="C121" s="1089"/>
      <c r="D121" s="1089"/>
      <c r="E121" s="1089"/>
      <c r="F121" s="1089"/>
      <c r="G121" s="1089"/>
      <c r="H121" s="1089"/>
      <c r="I121" s="1089"/>
    </row>
    <row r="122" spans="1:9" x14ac:dyDescent="0.2">
      <c r="A122" s="1089"/>
      <c r="B122" s="1089"/>
      <c r="C122" s="1089"/>
      <c r="D122" s="1089"/>
      <c r="E122" s="1089"/>
      <c r="F122" s="1089"/>
      <c r="G122" s="1089"/>
      <c r="H122" s="1089"/>
      <c r="I122" s="1089"/>
    </row>
    <row r="123" spans="1:9" x14ac:dyDescent="0.2">
      <c r="A123" s="1089"/>
      <c r="B123" s="1089"/>
      <c r="C123" s="1089"/>
      <c r="D123" s="1089"/>
      <c r="E123" s="1089"/>
      <c r="F123" s="1089"/>
      <c r="G123" s="1089"/>
      <c r="H123" s="1089"/>
      <c r="I123" s="1089"/>
    </row>
    <row r="124" spans="1:9" x14ac:dyDescent="0.2">
      <c r="A124" s="1089"/>
      <c r="B124" s="1089"/>
      <c r="C124" s="1089"/>
      <c r="D124" s="1089"/>
      <c r="E124" s="1089"/>
      <c r="F124" s="1089"/>
      <c r="G124" s="1089"/>
      <c r="H124" s="1089"/>
      <c r="I124" s="1089"/>
    </row>
    <row r="125" spans="1:9" x14ac:dyDescent="0.2">
      <c r="A125" s="1089"/>
      <c r="B125" s="1089"/>
      <c r="C125" s="1089"/>
      <c r="D125" s="1089"/>
      <c r="E125" s="1089"/>
      <c r="F125" s="1089"/>
      <c r="G125" s="1089"/>
      <c r="H125" s="1089"/>
      <c r="I125" s="1089"/>
    </row>
    <row r="126" spans="1:9" x14ac:dyDescent="0.2">
      <c r="A126" s="1089"/>
      <c r="B126" s="1089"/>
      <c r="C126" s="1089"/>
      <c r="D126" s="1089"/>
      <c r="E126" s="1089"/>
      <c r="F126" s="1089"/>
      <c r="G126" s="1089"/>
      <c r="H126" s="1089"/>
      <c r="I126" s="1089"/>
    </row>
    <row r="127" spans="1:9" x14ac:dyDescent="0.2">
      <c r="A127" s="1089"/>
      <c r="B127" s="1089"/>
      <c r="C127" s="1089"/>
      <c r="D127" s="1089"/>
      <c r="E127" s="1089"/>
      <c r="F127" s="1089"/>
      <c r="G127" s="1089"/>
      <c r="H127" s="1089"/>
      <c r="I127" s="1089"/>
    </row>
    <row r="128" spans="1:9" x14ac:dyDescent="0.2">
      <c r="A128" s="1089"/>
      <c r="B128" s="1089"/>
      <c r="C128" s="1089"/>
      <c r="D128" s="1089"/>
      <c r="E128" s="1089"/>
      <c r="F128" s="1089"/>
      <c r="G128" s="1089"/>
      <c r="H128" s="1089"/>
      <c r="I128" s="1089"/>
    </row>
    <row r="129" spans="1:9" x14ac:dyDescent="0.2">
      <c r="A129" s="1089"/>
      <c r="B129" s="1089"/>
      <c r="C129" s="1089"/>
      <c r="D129" s="1089"/>
      <c r="E129" s="1089"/>
      <c r="F129" s="1089"/>
      <c r="G129" s="1089"/>
      <c r="H129" s="1089"/>
      <c r="I129" s="1089"/>
    </row>
    <row r="130" spans="1:9" x14ac:dyDescent="0.2">
      <c r="A130" s="1089"/>
      <c r="B130" s="1089"/>
      <c r="C130" s="1089"/>
      <c r="D130" s="1089"/>
      <c r="E130" s="1089"/>
      <c r="F130" s="1089"/>
      <c r="G130" s="1089"/>
      <c r="H130" s="1089"/>
      <c r="I130" s="1089"/>
    </row>
    <row r="131" spans="1:9" x14ac:dyDescent="0.2">
      <c r="A131" s="1089"/>
      <c r="B131" s="1089"/>
      <c r="C131" s="1089"/>
      <c r="D131" s="1089"/>
      <c r="E131" s="1089"/>
      <c r="F131" s="1089"/>
      <c r="G131" s="1089"/>
      <c r="H131" s="1089"/>
      <c r="I131" s="1089"/>
    </row>
    <row r="132" spans="1:9" x14ac:dyDescent="0.2">
      <c r="A132" s="1089"/>
      <c r="B132" s="1089"/>
      <c r="C132" s="1089"/>
      <c r="D132" s="1089"/>
      <c r="E132" s="1089"/>
      <c r="F132" s="1089"/>
      <c r="G132" s="1089"/>
      <c r="H132" s="1089"/>
      <c r="I132" s="1089"/>
    </row>
    <row r="133" spans="1:9" x14ac:dyDescent="0.2">
      <c r="A133" s="1089"/>
      <c r="B133" s="1089"/>
      <c r="C133" s="1089"/>
      <c r="D133" s="1089"/>
      <c r="E133" s="1089"/>
      <c r="F133" s="1089"/>
      <c r="G133" s="1089"/>
      <c r="H133" s="1089"/>
      <c r="I133" s="1089"/>
    </row>
    <row r="134" spans="1:9" x14ac:dyDescent="0.2">
      <c r="A134" s="1089"/>
      <c r="B134" s="1089"/>
      <c r="C134" s="1089"/>
      <c r="D134" s="1089"/>
      <c r="E134" s="1089"/>
      <c r="F134" s="1089"/>
      <c r="G134" s="1089"/>
      <c r="H134" s="1089"/>
      <c r="I134" s="1089"/>
    </row>
    <row r="135" spans="1:9" x14ac:dyDescent="0.2">
      <c r="A135" s="1089"/>
      <c r="B135" s="1089"/>
      <c r="C135" s="1089"/>
      <c r="D135" s="1089"/>
      <c r="E135" s="1089"/>
      <c r="F135" s="1089"/>
      <c r="G135" s="1089"/>
      <c r="H135" s="1089"/>
      <c r="I135" s="1089"/>
    </row>
    <row r="136" spans="1:9" x14ac:dyDescent="0.2">
      <c r="A136" s="1089"/>
      <c r="B136" s="1089"/>
      <c r="C136" s="1089"/>
      <c r="D136" s="1089"/>
      <c r="E136" s="1089"/>
      <c r="F136" s="1089"/>
      <c r="G136" s="1089"/>
      <c r="H136" s="1089"/>
      <c r="I136" s="1089"/>
    </row>
    <row r="137" spans="1:9" x14ac:dyDescent="0.2">
      <c r="A137" s="1089"/>
      <c r="B137" s="1089"/>
      <c r="C137" s="1089"/>
      <c r="D137" s="1089"/>
      <c r="E137" s="1089"/>
      <c r="F137" s="1089"/>
      <c r="G137" s="1089"/>
      <c r="H137" s="1089"/>
      <c r="I137" s="1089"/>
    </row>
    <row r="138" spans="1:9" x14ac:dyDescent="0.2">
      <c r="A138" s="1089"/>
      <c r="B138" s="1089"/>
      <c r="C138" s="1089"/>
      <c r="D138" s="1089"/>
      <c r="E138" s="1089"/>
      <c r="F138" s="1089"/>
      <c r="G138" s="1089"/>
      <c r="H138" s="1089"/>
      <c r="I138" s="1089"/>
    </row>
    <row r="139" spans="1:9" x14ac:dyDescent="0.2">
      <c r="A139" s="1089"/>
      <c r="B139" s="1089"/>
      <c r="C139" s="1089"/>
      <c r="D139" s="1089"/>
      <c r="E139" s="1089"/>
      <c r="F139" s="1089"/>
      <c r="G139" s="1089"/>
      <c r="H139" s="1089"/>
      <c r="I139" s="1089"/>
    </row>
    <row r="140" spans="1:9" x14ac:dyDescent="0.2">
      <c r="A140" s="1089"/>
      <c r="B140" s="1089"/>
      <c r="C140" s="1089"/>
      <c r="D140" s="1089"/>
      <c r="E140" s="1089"/>
      <c r="F140" s="1089"/>
      <c r="G140" s="1089"/>
      <c r="H140" s="1089"/>
      <c r="I140" s="1089"/>
    </row>
    <row r="141" spans="1:9" x14ac:dyDescent="0.2">
      <c r="A141" s="1089"/>
      <c r="B141" s="1089"/>
      <c r="C141" s="1089"/>
      <c r="D141" s="1089"/>
      <c r="E141" s="1089"/>
      <c r="F141" s="1089"/>
      <c r="G141" s="1089"/>
      <c r="H141" s="1089"/>
      <c r="I141" s="1089"/>
    </row>
    <row r="142" spans="1:9" x14ac:dyDescent="0.2">
      <c r="A142" s="1089"/>
      <c r="B142" s="1089"/>
      <c r="C142" s="1089"/>
      <c r="D142" s="1089"/>
      <c r="E142" s="1089"/>
      <c r="F142" s="1089"/>
      <c r="G142" s="1089"/>
      <c r="H142" s="1089"/>
      <c r="I142" s="1089"/>
    </row>
    <row r="143" spans="1:9" x14ac:dyDescent="0.2">
      <c r="A143" s="1089"/>
      <c r="B143" s="1089"/>
      <c r="C143" s="1089"/>
      <c r="D143" s="1089"/>
      <c r="E143" s="1089"/>
      <c r="F143" s="1089"/>
      <c r="G143" s="1089"/>
      <c r="H143" s="1089"/>
      <c r="I143" s="1089"/>
    </row>
    <row r="144" spans="1:9" x14ac:dyDescent="0.2">
      <c r="A144" s="1089"/>
      <c r="B144" s="1089"/>
      <c r="C144" s="1089"/>
      <c r="D144" s="1089"/>
      <c r="E144" s="1089"/>
      <c r="F144" s="1089"/>
      <c r="G144" s="1089"/>
      <c r="H144" s="1089"/>
      <c r="I144" s="1089"/>
    </row>
    <row r="145" spans="1:9" x14ac:dyDescent="0.2">
      <c r="A145" s="1089"/>
      <c r="B145" s="1089"/>
      <c r="C145" s="1089"/>
      <c r="D145" s="1089"/>
      <c r="E145" s="1089"/>
      <c r="F145" s="1089"/>
      <c r="G145" s="1089"/>
      <c r="H145" s="1089"/>
      <c r="I145" s="1089"/>
    </row>
    <row r="146" spans="1:9" x14ac:dyDescent="0.2">
      <c r="A146" s="1089"/>
      <c r="B146" s="1089"/>
      <c r="C146" s="1089"/>
      <c r="D146" s="1089"/>
      <c r="E146" s="1089"/>
      <c r="F146" s="1089"/>
      <c r="G146" s="1089"/>
      <c r="H146" s="1089"/>
      <c r="I146" s="1089"/>
    </row>
    <row r="147" spans="1:9" x14ac:dyDescent="0.2">
      <c r="A147" s="1089"/>
      <c r="B147" s="1089"/>
      <c r="C147" s="1089"/>
      <c r="D147" s="1089"/>
      <c r="E147" s="1089"/>
      <c r="F147" s="1089"/>
      <c r="G147" s="1089"/>
      <c r="H147" s="1089"/>
      <c r="I147" s="1089"/>
    </row>
    <row r="148" spans="1:9" x14ac:dyDescent="0.2">
      <c r="A148" s="1089"/>
      <c r="B148" s="1089"/>
      <c r="C148" s="1089"/>
      <c r="D148" s="1089"/>
      <c r="E148" s="1089"/>
      <c r="F148" s="1089"/>
      <c r="G148" s="1089"/>
      <c r="H148" s="1089"/>
      <c r="I148" s="1089"/>
    </row>
    <row r="149" spans="1:9" x14ac:dyDescent="0.2">
      <c r="A149" s="1089"/>
      <c r="B149" s="1089"/>
      <c r="C149" s="1089"/>
      <c r="D149" s="1089"/>
      <c r="E149" s="1089"/>
      <c r="F149" s="1089"/>
      <c r="G149" s="1089"/>
      <c r="H149" s="1089"/>
      <c r="I149" s="1089"/>
    </row>
    <row r="150" spans="1:9" x14ac:dyDescent="0.2">
      <c r="A150" s="1089"/>
      <c r="B150" s="1089"/>
      <c r="C150" s="1089"/>
      <c r="D150" s="1089"/>
      <c r="E150" s="1089"/>
      <c r="F150" s="1089"/>
      <c r="G150" s="1089"/>
      <c r="H150" s="1089"/>
      <c r="I150" s="1089"/>
    </row>
    <row r="151" spans="1:9" x14ac:dyDescent="0.2">
      <c r="A151" s="1089"/>
      <c r="B151" s="1089"/>
      <c r="C151" s="1089"/>
      <c r="D151" s="1089"/>
      <c r="E151" s="1089"/>
      <c r="F151" s="1089"/>
      <c r="G151" s="1089"/>
      <c r="H151" s="1089"/>
      <c r="I151" s="1089"/>
    </row>
    <row r="152" spans="1:9" x14ac:dyDescent="0.2">
      <c r="A152" s="1089"/>
      <c r="B152" s="1089"/>
      <c r="C152" s="1089"/>
      <c r="D152" s="1089"/>
      <c r="E152" s="1089"/>
      <c r="F152" s="1089"/>
      <c r="G152" s="1089"/>
      <c r="H152" s="1089"/>
      <c r="I152" s="1089"/>
    </row>
    <row r="153" spans="1:9" x14ac:dyDescent="0.2">
      <c r="A153" s="1089"/>
      <c r="B153" s="1089"/>
      <c r="C153" s="1089"/>
      <c r="D153" s="1089"/>
      <c r="E153" s="1089"/>
      <c r="F153" s="1089"/>
      <c r="G153" s="1089"/>
      <c r="H153" s="1089"/>
      <c r="I153" s="1089"/>
    </row>
    <row r="154" spans="1:9" x14ac:dyDescent="0.2">
      <c r="A154" s="1089"/>
      <c r="B154" s="1089"/>
      <c r="C154" s="1089"/>
      <c r="D154" s="1089"/>
      <c r="E154" s="1089"/>
      <c r="F154" s="1089"/>
      <c r="G154" s="1089"/>
      <c r="H154" s="1089"/>
      <c r="I154" s="1089"/>
    </row>
    <row r="155" spans="1:9" x14ac:dyDescent="0.2">
      <c r="A155" s="1089"/>
      <c r="B155" s="1089"/>
      <c r="C155" s="1089"/>
      <c r="D155" s="1089"/>
      <c r="E155" s="1089"/>
      <c r="F155" s="1089"/>
      <c r="G155" s="1089"/>
      <c r="H155" s="1089"/>
      <c r="I155" s="1089"/>
    </row>
    <row r="156" spans="1:9" x14ac:dyDescent="0.2">
      <c r="A156" s="1089"/>
      <c r="B156" s="1089"/>
      <c r="C156" s="1089"/>
      <c r="D156" s="1089"/>
      <c r="E156" s="1089"/>
      <c r="F156" s="1089"/>
      <c r="G156" s="1089"/>
      <c r="H156" s="1089"/>
      <c r="I156" s="1089"/>
    </row>
    <row r="157" spans="1:9" x14ac:dyDescent="0.2">
      <c r="A157" s="1089"/>
      <c r="B157" s="1089"/>
      <c r="C157" s="1089"/>
      <c r="D157" s="1089"/>
      <c r="E157" s="1089"/>
      <c r="F157" s="1089"/>
      <c r="G157" s="1089"/>
      <c r="H157" s="1089"/>
      <c r="I157" s="1089"/>
    </row>
    <row r="158" spans="1:9" x14ac:dyDescent="0.2">
      <c r="A158" s="1089"/>
      <c r="B158" s="1089"/>
      <c r="C158" s="1089"/>
      <c r="D158" s="1089"/>
      <c r="E158" s="1089"/>
      <c r="F158" s="1089"/>
      <c r="G158" s="1089"/>
      <c r="H158" s="1089"/>
      <c r="I158" s="1089"/>
    </row>
    <row r="159" spans="1:9" x14ac:dyDescent="0.2">
      <c r="A159" s="1089"/>
      <c r="B159" s="1089"/>
      <c r="C159" s="1089"/>
      <c r="D159" s="1089"/>
      <c r="E159" s="1089"/>
      <c r="F159" s="1089"/>
      <c r="G159" s="1089"/>
      <c r="H159" s="1089"/>
      <c r="I159" s="1089"/>
    </row>
    <row r="160" spans="1:9" x14ac:dyDescent="0.2">
      <c r="A160" s="1089"/>
      <c r="B160" s="1089"/>
      <c r="C160" s="1089"/>
      <c r="D160" s="1089"/>
      <c r="E160" s="1089"/>
      <c r="F160" s="1089"/>
      <c r="G160" s="1089"/>
      <c r="H160" s="1089"/>
      <c r="I160" s="1089"/>
    </row>
    <row r="161" spans="1:9" x14ac:dyDescent="0.2">
      <c r="A161" s="1089"/>
      <c r="B161" s="1089"/>
      <c r="C161" s="1089"/>
      <c r="D161" s="1089"/>
      <c r="E161" s="1089"/>
      <c r="F161" s="1089"/>
      <c r="G161" s="1089"/>
      <c r="H161" s="1089"/>
      <c r="I161" s="1089"/>
    </row>
    <row r="162" spans="1:9" x14ac:dyDescent="0.2">
      <c r="A162" s="1089"/>
      <c r="B162" s="1089"/>
      <c r="C162" s="1089"/>
      <c r="D162" s="1089"/>
      <c r="E162" s="1089"/>
      <c r="F162" s="1089"/>
      <c r="G162" s="1089"/>
      <c r="H162" s="1089"/>
      <c r="I162" s="1089"/>
    </row>
    <row r="163" spans="1:9" x14ac:dyDescent="0.2">
      <c r="A163" s="1089"/>
      <c r="B163" s="1089"/>
      <c r="C163" s="1089"/>
      <c r="D163" s="1089"/>
      <c r="E163" s="1089"/>
      <c r="F163" s="1089"/>
      <c r="G163" s="1089"/>
      <c r="H163" s="1089"/>
      <c r="I163" s="1089"/>
    </row>
  </sheetData>
  <mergeCells count="6">
    <mergeCell ref="A59:B59"/>
    <mergeCell ref="A5:I5"/>
    <mergeCell ref="A1:I3"/>
    <mergeCell ref="A4:C4"/>
    <mergeCell ref="A25:B25"/>
    <mergeCell ref="A43:C43"/>
  </mergeCells>
  <pageMargins left="0.75" right="0.75" top="1" bottom="1" header="0.5" footer="0.5"/>
  <pageSetup orientation="portrait" horizontalDpi="300" verticalDpi="300"/>
  <headerFooter alignWithMargins="0">
    <oddHeader>&amp;C&amp;L&amp;RÉrték típus: Forint</oddHeader>
    <oddFooter>&amp;C&amp;LAdatellenőrző kód: -80-72-57-a6033-23-27-35232e7940-7f-4c7d68-1b-32-4d&amp;R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F44"/>
  <sheetViews>
    <sheetView topLeftCell="D1" workbookViewId="0">
      <selection activeCell="Y37" sqref="Y37:Z37"/>
    </sheetView>
  </sheetViews>
  <sheetFormatPr defaultRowHeight="12.75" x14ac:dyDescent="0.2"/>
  <cols>
    <col min="2" max="2" width="4.85546875" customWidth="1"/>
    <col min="3" max="3" width="9.140625" hidden="1" customWidth="1"/>
    <col min="9" max="9" width="7.42578125" customWidth="1"/>
    <col min="10" max="10" width="9.140625" hidden="1" customWidth="1"/>
    <col min="11" max="11" width="1.28515625" hidden="1" customWidth="1"/>
    <col min="12" max="23" width="9.140625" hidden="1" customWidth="1"/>
    <col min="24" max="24" width="18.140625" customWidth="1"/>
    <col min="25" max="25" width="13.5703125" customWidth="1"/>
    <col min="26" max="26" width="11.7109375" customWidth="1"/>
    <col min="27" max="27" width="13" customWidth="1"/>
    <col min="28" max="28" width="0" hidden="1" customWidth="1"/>
    <col min="29" max="30" width="9.140625" hidden="1" customWidth="1"/>
  </cols>
  <sheetData>
    <row r="1" spans="1:32" x14ac:dyDescent="0.2">
      <c r="A1" s="1871"/>
      <c r="B1" s="1871"/>
      <c r="C1" s="1871"/>
      <c r="D1" s="1871"/>
      <c r="E1" s="1871"/>
      <c r="F1" s="1871"/>
      <c r="G1" s="1871"/>
      <c r="H1" s="1871"/>
      <c r="I1" s="1871"/>
      <c r="J1" s="1871"/>
      <c r="K1" s="1871"/>
      <c r="L1" s="1871"/>
      <c r="M1" s="1871"/>
      <c r="N1" s="1871"/>
      <c r="O1" s="1871"/>
      <c r="P1" s="1871"/>
      <c r="Q1" s="1871"/>
      <c r="R1" s="1871"/>
      <c r="S1" s="1871"/>
      <c r="T1" s="1871"/>
      <c r="U1" s="1871"/>
      <c r="V1" s="1871"/>
      <c r="W1" s="1871"/>
      <c r="X1" s="1871"/>
      <c r="Y1" s="1871"/>
      <c r="Z1" s="1871"/>
      <c r="AA1" s="1871"/>
      <c r="AB1" s="1871"/>
      <c r="AC1" s="1871"/>
      <c r="AD1" s="1871"/>
      <c r="AE1" s="1871"/>
      <c r="AF1" s="1871"/>
    </row>
    <row r="2" spans="1:32" ht="45" customHeight="1" x14ac:dyDescent="0.2">
      <c r="A2" s="1872" t="s">
        <v>434</v>
      </c>
      <c r="B2" s="1872"/>
      <c r="C2" s="1872"/>
      <c r="D2" s="1872"/>
      <c r="E2" s="1872"/>
      <c r="F2" s="1872"/>
      <c r="G2" s="1872"/>
      <c r="H2" s="1872"/>
      <c r="I2" s="1872"/>
      <c r="J2" s="1872"/>
      <c r="K2" s="1872"/>
      <c r="L2" s="1872"/>
      <c r="M2" s="1872"/>
      <c r="N2" s="1872"/>
      <c r="O2" s="1872"/>
      <c r="P2" s="1872"/>
      <c r="Q2" s="1872"/>
      <c r="R2" s="1872"/>
      <c r="S2" s="1872"/>
      <c r="T2" s="1872"/>
      <c r="U2" s="1872"/>
      <c r="V2" s="1872"/>
      <c r="W2" s="1872"/>
      <c r="X2" s="1872"/>
      <c r="Y2" s="1872"/>
      <c r="Z2" s="1872"/>
      <c r="AA2" s="1872"/>
      <c r="AB2" s="1872"/>
      <c r="AC2" s="1872"/>
      <c r="AD2" s="1872"/>
      <c r="AE2" s="1872"/>
      <c r="AF2" s="1872"/>
    </row>
    <row r="3" spans="1:32" ht="12.75" customHeight="1" x14ac:dyDescent="0.2">
      <c r="A3" s="1873" t="s">
        <v>545</v>
      </c>
      <c r="B3" s="1874"/>
      <c r="C3" s="1875"/>
      <c r="D3" s="1879" t="s">
        <v>514</v>
      </c>
      <c r="E3" s="1880"/>
      <c r="F3" s="1880"/>
      <c r="G3" s="1880"/>
      <c r="H3" s="1880"/>
      <c r="I3" s="1880"/>
      <c r="J3" s="1880"/>
      <c r="K3" s="1880"/>
      <c r="L3" s="1880"/>
      <c r="M3" s="1880"/>
      <c r="N3" s="1880"/>
      <c r="O3" s="1880"/>
      <c r="P3" s="1880"/>
      <c r="Q3" s="1880"/>
      <c r="R3" s="1880"/>
      <c r="S3" s="1880"/>
      <c r="T3" s="1880"/>
      <c r="U3" s="1880"/>
      <c r="V3" s="1880"/>
      <c r="W3" s="1881"/>
      <c r="X3" s="1885" t="s">
        <v>212</v>
      </c>
      <c r="Y3" s="1885" t="s">
        <v>211</v>
      </c>
      <c r="Z3" s="1885" t="s">
        <v>546</v>
      </c>
      <c r="AA3" s="1885" t="s">
        <v>192</v>
      </c>
      <c r="AB3" s="1887" t="s">
        <v>547</v>
      </c>
      <c r="AC3" s="1888"/>
      <c r="AD3" s="1888"/>
      <c r="AE3" s="1888"/>
      <c r="AF3" s="1889"/>
    </row>
    <row r="4" spans="1:32" ht="27" customHeight="1" x14ac:dyDescent="0.2">
      <c r="A4" s="1876"/>
      <c r="B4" s="1877"/>
      <c r="C4" s="1878"/>
      <c r="D4" s="1882"/>
      <c r="E4" s="1883"/>
      <c r="F4" s="1883"/>
      <c r="G4" s="1883"/>
      <c r="H4" s="1883"/>
      <c r="I4" s="1883"/>
      <c r="J4" s="1883"/>
      <c r="K4" s="1883"/>
      <c r="L4" s="1883"/>
      <c r="M4" s="1883"/>
      <c r="N4" s="1883"/>
      <c r="O4" s="1883"/>
      <c r="P4" s="1883"/>
      <c r="Q4" s="1883"/>
      <c r="R4" s="1883"/>
      <c r="S4" s="1883"/>
      <c r="T4" s="1883"/>
      <c r="U4" s="1883"/>
      <c r="V4" s="1883"/>
      <c r="W4" s="1884"/>
      <c r="X4" s="1886"/>
      <c r="Y4" s="1886"/>
      <c r="Z4" s="1886"/>
      <c r="AA4" s="1886"/>
      <c r="AB4" s="1890"/>
      <c r="AC4" s="1891"/>
      <c r="AD4" s="1891"/>
      <c r="AE4" s="1891"/>
      <c r="AF4" s="1892"/>
    </row>
    <row r="5" spans="1:32" x14ac:dyDescent="0.2">
      <c r="A5" s="1862" t="s">
        <v>397</v>
      </c>
      <c r="B5" s="1863"/>
      <c r="C5" s="1864"/>
      <c r="D5" s="1893" t="s">
        <v>548</v>
      </c>
      <c r="E5" s="1894"/>
      <c r="F5" s="1894"/>
      <c r="G5" s="1894"/>
      <c r="H5" s="1894"/>
      <c r="I5" s="1894"/>
      <c r="J5" s="1894"/>
      <c r="K5" s="1894"/>
      <c r="L5" s="1894"/>
      <c r="M5" s="1894"/>
      <c r="N5" s="1894"/>
      <c r="O5" s="1894"/>
      <c r="P5" s="1894"/>
      <c r="Q5" s="1894"/>
      <c r="R5" s="1894"/>
      <c r="S5" s="1894"/>
      <c r="T5" s="1894"/>
      <c r="U5" s="1894"/>
      <c r="V5" s="1894"/>
      <c r="W5" s="1895"/>
      <c r="X5" s="639"/>
      <c r="Y5" s="639"/>
      <c r="Z5" s="639"/>
      <c r="AA5" s="639"/>
      <c r="AB5" s="1856">
        <f t="shared" ref="AB5:AB44" si="0">SUM(X5:AA5)</f>
        <v>0</v>
      </c>
      <c r="AC5" s="1857"/>
      <c r="AD5" s="1857"/>
      <c r="AE5" s="1857"/>
      <c r="AF5" s="1858"/>
    </row>
    <row r="6" spans="1:32" x14ac:dyDescent="0.2">
      <c r="A6" s="1862" t="s">
        <v>399</v>
      </c>
      <c r="B6" s="1863"/>
      <c r="C6" s="1864"/>
      <c r="D6" s="1865" t="s">
        <v>549</v>
      </c>
      <c r="E6" s="1866"/>
      <c r="F6" s="1866"/>
      <c r="G6" s="1866"/>
      <c r="H6" s="1866"/>
      <c r="I6" s="1866"/>
      <c r="J6" s="1866"/>
      <c r="K6" s="1866"/>
      <c r="L6" s="1866"/>
      <c r="M6" s="1866"/>
      <c r="N6" s="1866"/>
      <c r="O6" s="1866"/>
      <c r="P6" s="1866"/>
      <c r="Q6" s="1866"/>
      <c r="R6" s="1866"/>
      <c r="S6" s="1866"/>
      <c r="T6" s="1866"/>
      <c r="U6" s="1866"/>
      <c r="V6" s="1866"/>
      <c r="W6" s="1867"/>
      <c r="X6" s="645"/>
      <c r="Y6" s="645">
        <v>324546</v>
      </c>
      <c r="Z6" s="645">
        <v>9331512</v>
      </c>
      <c r="AA6" s="645">
        <v>0</v>
      </c>
      <c r="AB6" s="1856">
        <f t="shared" si="0"/>
        <v>9656058</v>
      </c>
      <c r="AC6" s="1857"/>
      <c r="AD6" s="1857"/>
      <c r="AE6" s="1857"/>
      <c r="AF6" s="1858"/>
    </row>
    <row r="7" spans="1:32" ht="23.25" customHeight="1" x14ac:dyDescent="0.2">
      <c r="A7" s="1862" t="s">
        <v>403</v>
      </c>
      <c r="B7" s="1863"/>
      <c r="C7" s="1864"/>
      <c r="D7" s="1865" t="s">
        <v>673</v>
      </c>
      <c r="E7" s="1866"/>
      <c r="F7" s="1866"/>
      <c r="G7" s="1866"/>
      <c r="H7" s="1866"/>
      <c r="I7" s="1866"/>
      <c r="J7" s="1866"/>
      <c r="K7" s="1866"/>
      <c r="L7" s="1866"/>
      <c r="M7" s="1866"/>
      <c r="N7" s="1866"/>
      <c r="O7" s="1866"/>
      <c r="P7" s="1866"/>
      <c r="Q7" s="1866"/>
      <c r="R7" s="1866"/>
      <c r="S7" s="1866"/>
      <c r="T7" s="1866"/>
      <c r="U7" s="1866"/>
      <c r="V7" s="1866"/>
      <c r="W7" s="1867"/>
      <c r="X7" s="645">
        <v>48287249</v>
      </c>
      <c r="Y7" s="645"/>
      <c r="Z7" s="645"/>
      <c r="AA7" s="645"/>
      <c r="AB7" s="1856">
        <f t="shared" si="0"/>
        <v>48287249</v>
      </c>
      <c r="AC7" s="1857"/>
      <c r="AD7" s="1857"/>
      <c r="AE7" s="1857"/>
      <c r="AF7" s="1858"/>
    </row>
    <row r="8" spans="1:32" x14ac:dyDescent="0.2">
      <c r="A8" s="1859" t="s">
        <v>401</v>
      </c>
      <c r="B8" s="1860"/>
      <c r="C8" s="1861"/>
      <c r="D8" s="1853" t="s">
        <v>550</v>
      </c>
      <c r="E8" s="1854"/>
      <c r="F8" s="1854"/>
      <c r="G8" s="1854"/>
      <c r="H8" s="1854"/>
      <c r="I8" s="1854"/>
      <c r="J8" s="1854"/>
      <c r="K8" s="1854"/>
      <c r="L8" s="1854"/>
      <c r="M8" s="1854"/>
      <c r="N8" s="1854"/>
      <c r="O8" s="1854"/>
      <c r="P8" s="1854"/>
      <c r="Q8" s="1854"/>
      <c r="R8" s="1854"/>
      <c r="S8" s="1854"/>
      <c r="T8" s="1854"/>
      <c r="U8" s="1854"/>
      <c r="V8" s="1854"/>
      <c r="W8" s="1855"/>
      <c r="X8" s="646">
        <f>SUM(X5:X7)</f>
        <v>48287249</v>
      </c>
      <c r="Y8" s="646">
        <f t="shared" ref="Y8:AA8" si="1">SUM(Y5:Y7)</f>
        <v>324546</v>
      </c>
      <c r="Z8" s="646">
        <f t="shared" si="1"/>
        <v>9331512</v>
      </c>
      <c r="AA8" s="646">
        <f t="shared" si="1"/>
        <v>0</v>
      </c>
      <c r="AB8" s="1856">
        <f t="shared" si="0"/>
        <v>57943307</v>
      </c>
      <c r="AC8" s="1857"/>
      <c r="AD8" s="1857"/>
      <c r="AE8" s="1857"/>
      <c r="AF8" s="1858"/>
    </row>
    <row r="9" spans="1:32" x14ac:dyDescent="0.2">
      <c r="A9" s="1862" t="s">
        <v>405</v>
      </c>
      <c r="B9" s="1863"/>
      <c r="C9" s="1864"/>
      <c r="D9" s="1865" t="s">
        <v>551</v>
      </c>
      <c r="E9" s="1866"/>
      <c r="F9" s="1866"/>
      <c r="G9" s="1866"/>
      <c r="H9" s="1866"/>
      <c r="I9" s="1866"/>
      <c r="J9" s="1866"/>
      <c r="K9" s="1866"/>
      <c r="L9" s="1866"/>
      <c r="M9" s="1866"/>
      <c r="N9" s="1866"/>
      <c r="O9" s="1866"/>
      <c r="P9" s="1866"/>
      <c r="Q9" s="1866"/>
      <c r="R9" s="1866"/>
      <c r="S9" s="1866"/>
      <c r="T9" s="1866"/>
      <c r="U9" s="1866"/>
      <c r="V9" s="1866"/>
      <c r="W9" s="1867"/>
      <c r="X9" s="645"/>
      <c r="Y9" s="645"/>
      <c r="Z9" s="645"/>
      <c r="AA9" s="645"/>
      <c r="AB9" s="1856">
        <f t="shared" si="0"/>
        <v>0</v>
      </c>
      <c r="AC9" s="1857"/>
      <c r="AD9" s="1857"/>
      <c r="AE9" s="1857"/>
      <c r="AF9" s="1858"/>
    </row>
    <row r="10" spans="1:32" x14ac:dyDescent="0.2">
      <c r="A10" s="1862" t="s">
        <v>410</v>
      </c>
      <c r="B10" s="1863"/>
      <c r="C10" s="1864"/>
      <c r="D10" s="1865" t="s">
        <v>552</v>
      </c>
      <c r="E10" s="1866"/>
      <c r="F10" s="1866"/>
      <c r="G10" s="1866"/>
      <c r="H10" s="1866"/>
      <c r="I10" s="1866"/>
      <c r="J10" s="1866"/>
      <c r="K10" s="1866"/>
      <c r="L10" s="1866"/>
      <c r="M10" s="1866"/>
      <c r="N10" s="1866"/>
      <c r="O10" s="1866"/>
      <c r="P10" s="1866"/>
      <c r="Q10" s="1866"/>
      <c r="R10" s="1866"/>
      <c r="S10" s="1866"/>
      <c r="T10" s="1866"/>
      <c r="U10" s="1866"/>
      <c r="V10" s="1866"/>
      <c r="W10" s="1867"/>
      <c r="X10" s="647"/>
      <c r="Y10" s="647"/>
      <c r="Z10" s="647"/>
      <c r="AA10" s="647"/>
      <c r="AB10" s="1856">
        <f t="shared" si="0"/>
        <v>0</v>
      </c>
      <c r="AC10" s="1857"/>
      <c r="AD10" s="1857"/>
      <c r="AE10" s="1857"/>
      <c r="AF10" s="1858"/>
    </row>
    <row r="11" spans="1:32" x14ac:dyDescent="0.2">
      <c r="A11" s="1859" t="s">
        <v>407</v>
      </c>
      <c r="B11" s="1860"/>
      <c r="C11" s="1861"/>
      <c r="D11" s="1896" t="s">
        <v>553</v>
      </c>
      <c r="E11" s="1897"/>
      <c r="F11" s="1897"/>
      <c r="G11" s="1897"/>
      <c r="H11" s="1897"/>
      <c r="I11" s="1897"/>
      <c r="J11" s="1897"/>
      <c r="K11" s="1897"/>
      <c r="L11" s="1897"/>
      <c r="M11" s="1897"/>
      <c r="N11" s="1897"/>
      <c r="O11" s="1897"/>
      <c r="P11" s="1897"/>
      <c r="Q11" s="1897"/>
      <c r="R11" s="1897"/>
      <c r="S11" s="1897"/>
      <c r="T11" s="1897"/>
      <c r="U11" s="1897"/>
      <c r="V11" s="1897"/>
      <c r="W11" s="1898"/>
      <c r="X11" s="648">
        <f>SUM(X9:X10)</f>
        <v>0</v>
      </c>
      <c r="Y11" s="648">
        <f t="shared" ref="Y11:AA11" si="2">SUM(Y9:Y10)</f>
        <v>0</v>
      </c>
      <c r="Z11" s="648">
        <f t="shared" si="2"/>
        <v>0</v>
      </c>
      <c r="AA11" s="648">
        <f t="shared" si="2"/>
        <v>0</v>
      </c>
      <c r="AB11" s="1856">
        <f t="shared" si="0"/>
        <v>0</v>
      </c>
      <c r="AC11" s="1857"/>
      <c r="AD11" s="1857"/>
      <c r="AE11" s="1857"/>
      <c r="AF11" s="1858"/>
    </row>
    <row r="12" spans="1:32" x14ac:dyDescent="0.2">
      <c r="A12" s="1862" t="s">
        <v>412</v>
      </c>
      <c r="B12" s="1863"/>
      <c r="C12" s="1864"/>
      <c r="D12" s="1865" t="s">
        <v>554</v>
      </c>
      <c r="E12" s="1866"/>
      <c r="F12" s="1866"/>
      <c r="G12" s="1866"/>
      <c r="H12" s="1866"/>
      <c r="I12" s="1866"/>
      <c r="J12" s="1866"/>
      <c r="K12" s="1866"/>
      <c r="L12" s="1866"/>
      <c r="M12" s="1866"/>
      <c r="N12" s="1866"/>
      <c r="O12" s="1866"/>
      <c r="P12" s="1866"/>
      <c r="Q12" s="1866"/>
      <c r="R12" s="1866"/>
      <c r="S12" s="1866"/>
      <c r="T12" s="1866"/>
      <c r="U12" s="1866"/>
      <c r="V12" s="1866"/>
      <c r="W12" s="1867"/>
      <c r="X12" s="645">
        <v>185440931</v>
      </c>
      <c r="Y12" s="645">
        <v>43312315</v>
      </c>
      <c r="Z12" s="645">
        <v>47384988</v>
      </c>
      <c r="AA12" s="645">
        <v>43338363</v>
      </c>
      <c r="AB12" s="1856">
        <f t="shared" si="0"/>
        <v>319476597</v>
      </c>
      <c r="AC12" s="1857"/>
      <c r="AD12" s="1857"/>
      <c r="AE12" s="1857"/>
      <c r="AF12" s="1858"/>
    </row>
    <row r="13" spans="1:32" x14ac:dyDescent="0.2">
      <c r="A13" s="1862" t="s">
        <v>416</v>
      </c>
      <c r="B13" s="1863"/>
      <c r="C13" s="1864"/>
      <c r="D13" s="1865" t="s">
        <v>555</v>
      </c>
      <c r="E13" s="1866"/>
      <c r="F13" s="1866"/>
      <c r="G13" s="1866"/>
      <c r="H13" s="1866"/>
      <c r="I13" s="1866"/>
      <c r="J13" s="1866"/>
      <c r="K13" s="1866"/>
      <c r="L13" s="1866"/>
      <c r="M13" s="1866"/>
      <c r="N13" s="1866"/>
      <c r="O13" s="1866"/>
      <c r="P13" s="1866"/>
      <c r="Q13" s="1866"/>
      <c r="R13" s="1866"/>
      <c r="S13" s="1866"/>
      <c r="T13" s="1866"/>
      <c r="U13" s="1866"/>
      <c r="V13" s="1866"/>
      <c r="W13" s="1867"/>
      <c r="X13" s="645">
        <v>42568711</v>
      </c>
      <c r="Y13" s="645"/>
      <c r="Z13" s="645"/>
      <c r="AA13" s="645"/>
      <c r="AB13" s="1856">
        <f t="shared" si="0"/>
        <v>42568711</v>
      </c>
      <c r="AC13" s="1857"/>
      <c r="AD13" s="1857"/>
      <c r="AE13" s="1857"/>
      <c r="AF13" s="1858"/>
    </row>
    <row r="14" spans="1:32" s="130" customFormat="1" x14ac:dyDescent="0.2">
      <c r="A14" s="636"/>
      <c r="B14" s="637"/>
      <c r="C14" s="638"/>
      <c r="D14" s="1865" t="s">
        <v>672</v>
      </c>
      <c r="E14" s="1866"/>
      <c r="F14" s="1866"/>
      <c r="G14" s="1866"/>
      <c r="H14" s="1866"/>
      <c r="I14" s="1866"/>
      <c r="J14" s="643"/>
      <c r="K14" s="643"/>
      <c r="L14" s="643"/>
      <c r="M14" s="643"/>
      <c r="N14" s="643"/>
      <c r="O14" s="643"/>
      <c r="P14" s="643"/>
      <c r="Q14" s="643"/>
      <c r="R14" s="643"/>
      <c r="S14" s="643"/>
      <c r="T14" s="643"/>
      <c r="U14" s="643"/>
      <c r="V14" s="643"/>
      <c r="W14" s="644"/>
      <c r="X14" s="645">
        <v>124507800</v>
      </c>
      <c r="Y14" s="645"/>
      <c r="Z14" s="645"/>
      <c r="AA14" s="645"/>
      <c r="AB14" s="640"/>
      <c r="AC14" s="641"/>
      <c r="AD14" s="641"/>
      <c r="AE14" s="641"/>
      <c r="AF14" s="642"/>
    </row>
    <row r="15" spans="1:32" x14ac:dyDescent="0.2">
      <c r="A15" s="1862" t="s">
        <v>418</v>
      </c>
      <c r="B15" s="1863"/>
      <c r="C15" s="1864"/>
      <c r="D15" s="1865" t="s">
        <v>556</v>
      </c>
      <c r="E15" s="1866"/>
      <c r="F15" s="1866"/>
      <c r="G15" s="1866"/>
      <c r="H15" s="1866"/>
      <c r="I15" s="1866"/>
      <c r="J15" s="1866"/>
      <c r="K15" s="1866"/>
      <c r="L15" s="1866"/>
      <c r="M15" s="1866"/>
      <c r="N15" s="1866"/>
      <c r="O15" s="1866"/>
      <c r="P15" s="1866"/>
      <c r="Q15" s="1866"/>
      <c r="R15" s="1866"/>
      <c r="S15" s="1866"/>
      <c r="T15" s="1866"/>
      <c r="U15" s="1866"/>
      <c r="V15" s="1866"/>
      <c r="W15" s="1867"/>
      <c r="X15" s="645">
        <v>117582408</v>
      </c>
      <c r="Y15" s="645">
        <v>186492</v>
      </c>
      <c r="Z15" s="645">
        <v>2959</v>
      </c>
      <c r="AA15" s="645">
        <v>2146</v>
      </c>
      <c r="AB15" s="1856">
        <f t="shared" si="0"/>
        <v>117774005</v>
      </c>
      <c r="AC15" s="1857"/>
      <c r="AD15" s="1857"/>
      <c r="AE15" s="1857"/>
      <c r="AF15" s="1858"/>
    </row>
    <row r="16" spans="1:32" x14ac:dyDescent="0.2">
      <c r="A16" s="1859" t="s">
        <v>414</v>
      </c>
      <c r="B16" s="1860"/>
      <c r="C16" s="1861"/>
      <c r="D16" s="1853" t="s">
        <v>557</v>
      </c>
      <c r="E16" s="1854"/>
      <c r="F16" s="1854"/>
      <c r="G16" s="1854"/>
      <c r="H16" s="1854"/>
      <c r="I16" s="1854"/>
      <c r="J16" s="1854"/>
      <c r="K16" s="1854"/>
      <c r="L16" s="1854"/>
      <c r="M16" s="1854"/>
      <c r="N16" s="1854"/>
      <c r="O16" s="1854"/>
      <c r="P16" s="1854"/>
      <c r="Q16" s="1854"/>
      <c r="R16" s="1854"/>
      <c r="S16" s="1854"/>
      <c r="T16" s="1854"/>
      <c r="U16" s="1854"/>
      <c r="V16" s="1854"/>
      <c r="W16" s="1855"/>
      <c r="X16" s="646">
        <f>SUM(X12:X15)</f>
        <v>470099850</v>
      </c>
      <c r="Y16" s="646">
        <f>SUM(Y12:Y15)</f>
        <v>43498807</v>
      </c>
      <c r="Z16" s="646">
        <f>SUM(Z12:Z15)</f>
        <v>47387947</v>
      </c>
      <c r="AA16" s="646">
        <f>SUM(AA12:AA15)</f>
        <v>43340509</v>
      </c>
      <c r="AB16" s="1856">
        <f t="shared" si="0"/>
        <v>604327113</v>
      </c>
      <c r="AC16" s="1857"/>
      <c r="AD16" s="1857"/>
      <c r="AE16" s="1857"/>
      <c r="AF16" s="1858"/>
    </row>
    <row r="17" spans="1:32" x14ac:dyDescent="0.2">
      <c r="A17" s="1862" t="s">
        <v>524</v>
      </c>
      <c r="B17" s="1863"/>
      <c r="C17" s="1864"/>
      <c r="D17" s="1865" t="s">
        <v>558</v>
      </c>
      <c r="E17" s="1866"/>
      <c r="F17" s="1866"/>
      <c r="G17" s="1866"/>
      <c r="H17" s="1866"/>
      <c r="I17" s="1866"/>
      <c r="J17" s="1866"/>
      <c r="K17" s="1866"/>
      <c r="L17" s="1866"/>
      <c r="M17" s="1866"/>
      <c r="N17" s="1866"/>
      <c r="O17" s="1866"/>
      <c r="P17" s="1866"/>
      <c r="Q17" s="1866"/>
      <c r="R17" s="1866"/>
      <c r="S17" s="1866"/>
      <c r="T17" s="1866"/>
      <c r="U17" s="1866"/>
      <c r="V17" s="1866"/>
      <c r="W17" s="1867"/>
      <c r="X17" s="645">
        <v>22709889</v>
      </c>
      <c r="Y17" s="645">
        <v>1339231</v>
      </c>
      <c r="Z17" s="645">
        <v>19681166</v>
      </c>
      <c r="AA17" s="645">
        <v>943171</v>
      </c>
      <c r="AB17" s="1856">
        <f t="shared" si="0"/>
        <v>44673457</v>
      </c>
      <c r="AC17" s="1857"/>
      <c r="AD17" s="1857"/>
      <c r="AE17" s="1857"/>
      <c r="AF17" s="1858"/>
    </row>
    <row r="18" spans="1:32" x14ac:dyDescent="0.2">
      <c r="A18" s="1862" t="s">
        <v>338</v>
      </c>
      <c r="B18" s="1863"/>
      <c r="C18" s="1864"/>
      <c r="D18" s="1865" t="s">
        <v>559</v>
      </c>
      <c r="E18" s="1866"/>
      <c r="F18" s="1866"/>
      <c r="G18" s="1866"/>
      <c r="H18" s="1866"/>
      <c r="I18" s="1866"/>
      <c r="J18" s="1866"/>
      <c r="K18" s="1866"/>
      <c r="L18" s="1866"/>
      <c r="M18" s="1866"/>
      <c r="N18" s="1866"/>
      <c r="O18" s="1866"/>
      <c r="P18" s="1866"/>
      <c r="Q18" s="1866"/>
      <c r="R18" s="1866"/>
      <c r="S18" s="1866"/>
      <c r="T18" s="1866"/>
      <c r="U18" s="1866"/>
      <c r="V18" s="1866"/>
      <c r="W18" s="1867"/>
      <c r="X18" s="645">
        <v>37106601</v>
      </c>
      <c r="Y18" s="645">
        <v>5192566</v>
      </c>
      <c r="Z18" s="645">
        <v>3680195</v>
      </c>
      <c r="AA18" s="645">
        <v>1798896</v>
      </c>
      <c r="AB18" s="1856">
        <f t="shared" si="0"/>
        <v>47778258</v>
      </c>
      <c r="AC18" s="1857"/>
      <c r="AD18" s="1857"/>
      <c r="AE18" s="1857"/>
      <c r="AF18" s="1858"/>
    </row>
    <row r="19" spans="1:32" x14ac:dyDescent="0.2">
      <c r="A19" s="1862" t="s">
        <v>342</v>
      </c>
      <c r="B19" s="1863"/>
      <c r="C19" s="1864"/>
      <c r="D19" s="1865" t="s">
        <v>560</v>
      </c>
      <c r="E19" s="1866"/>
      <c r="F19" s="1866"/>
      <c r="G19" s="1866"/>
      <c r="H19" s="1866"/>
      <c r="I19" s="1866"/>
      <c r="J19" s="1866"/>
      <c r="K19" s="1866"/>
      <c r="L19" s="1866"/>
      <c r="M19" s="1866"/>
      <c r="N19" s="1866"/>
      <c r="O19" s="1866"/>
      <c r="P19" s="1866"/>
      <c r="Q19" s="1866"/>
      <c r="R19" s="1866"/>
      <c r="S19" s="1866"/>
      <c r="T19" s="1866"/>
      <c r="U19" s="1866"/>
      <c r="V19" s="1866"/>
      <c r="W19" s="1867"/>
      <c r="X19" s="645">
        <v>3049262</v>
      </c>
      <c r="Y19" s="645">
        <v>306056</v>
      </c>
      <c r="Z19" s="645"/>
      <c r="AA19" s="645"/>
      <c r="AB19" s="1856">
        <f t="shared" si="0"/>
        <v>3355318</v>
      </c>
      <c r="AC19" s="1857"/>
      <c r="AD19" s="1857"/>
      <c r="AE19" s="1857"/>
      <c r="AF19" s="1858"/>
    </row>
    <row r="20" spans="1:32" x14ac:dyDescent="0.2">
      <c r="A20" s="1859" t="s">
        <v>420</v>
      </c>
      <c r="B20" s="1860"/>
      <c r="C20" s="1861"/>
      <c r="D20" s="1853" t="s">
        <v>561</v>
      </c>
      <c r="E20" s="1854"/>
      <c r="F20" s="1854"/>
      <c r="G20" s="1854"/>
      <c r="H20" s="1854"/>
      <c r="I20" s="1854"/>
      <c r="J20" s="1854"/>
      <c r="K20" s="1854"/>
      <c r="L20" s="1854"/>
      <c r="M20" s="1854"/>
      <c r="N20" s="1854"/>
      <c r="O20" s="1854"/>
      <c r="P20" s="1854"/>
      <c r="Q20" s="1854"/>
      <c r="R20" s="1854"/>
      <c r="S20" s="1854"/>
      <c r="T20" s="1854"/>
      <c r="U20" s="1854"/>
      <c r="V20" s="1854"/>
      <c r="W20" s="1855"/>
      <c r="X20" s="646">
        <f t="shared" ref="X20:AA20" si="3">SUM(X17:X19)</f>
        <v>62865752</v>
      </c>
      <c r="Y20" s="646">
        <f t="shared" si="3"/>
        <v>6837853</v>
      </c>
      <c r="Z20" s="646">
        <f t="shared" si="3"/>
        <v>23361361</v>
      </c>
      <c r="AA20" s="646">
        <f t="shared" si="3"/>
        <v>2742067</v>
      </c>
      <c r="AB20" s="1856">
        <f t="shared" si="0"/>
        <v>95807033</v>
      </c>
      <c r="AC20" s="1857"/>
      <c r="AD20" s="1857"/>
      <c r="AE20" s="1857"/>
      <c r="AF20" s="1858"/>
    </row>
    <row r="21" spans="1:32" x14ac:dyDescent="0.2">
      <c r="A21" s="1862" t="s">
        <v>343</v>
      </c>
      <c r="B21" s="1863"/>
      <c r="C21" s="1864"/>
      <c r="D21" s="1865" t="s">
        <v>562</v>
      </c>
      <c r="E21" s="1866"/>
      <c r="F21" s="1866"/>
      <c r="G21" s="1866"/>
      <c r="H21" s="1866"/>
      <c r="I21" s="1866"/>
      <c r="J21" s="1866"/>
      <c r="K21" s="1866"/>
      <c r="L21" s="1866"/>
      <c r="M21" s="1866"/>
      <c r="N21" s="1866"/>
      <c r="O21" s="1866"/>
      <c r="P21" s="1866"/>
      <c r="Q21" s="1866"/>
      <c r="R21" s="1866"/>
      <c r="S21" s="1866"/>
      <c r="T21" s="1866"/>
      <c r="U21" s="1866"/>
      <c r="V21" s="1866"/>
      <c r="W21" s="1867"/>
      <c r="X21" s="645">
        <v>47560336</v>
      </c>
      <c r="Y21" s="645">
        <v>23437228</v>
      </c>
      <c r="Z21" s="645">
        <v>23781934</v>
      </c>
      <c r="AA21" s="645">
        <v>31467107</v>
      </c>
      <c r="AB21" s="1856">
        <f t="shared" si="0"/>
        <v>126246605</v>
      </c>
      <c r="AC21" s="1857"/>
      <c r="AD21" s="1857"/>
      <c r="AE21" s="1857"/>
      <c r="AF21" s="1858"/>
    </row>
    <row r="22" spans="1:32" x14ac:dyDescent="0.2">
      <c r="A22" s="1862" t="s">
        <v>344</v>
      </c>
      <c r="B22" s="1863"/>
      <c r="C22" s="1864"/>
      <c r="D22" s="1865" t="s">
        <v>563</v>
      </c>
      <c r="E22" s="1866"/>
      <c r="F22" s="1866"/>
      <c r="G22" s="1866"/>
      <c r="H22" s="1866"/>
      <c r="I22" s="1866"/>
      <c r="J22" s="1866"/>
      <c r="K22" s="1866"/>
      <c r="L22" s="1866"/>
      <c r="M22" s="1866"/>
      <c r="N22" s="1866"/>
      <c r="O22" s="1866"/>
      <c r="P22" s="1866"/>
      <c r="Q22" s="1866"/>
      <c r="R22" s="1866"/>
      <c r="S22" s="1866"/>
      <c r="T22" s="1866"/>
      <c r="U22" s="1866"/>
      <c r="V22" s="1866"/>
      <c r="W22" s="1867"/>
      <c r="X22" s="645">
        <v>10072557</v>
      </c>
      <c r="Y22" s="645">
        <v>3948523</v>
      </c>
      <c r="Z22" s="645">
        <v>1197830</v>
      </c>
      <c r="AA22" s="645">
        <v>1335608</v>
      </c>
      <c r="AB22" s="1856">
        <f t="shared" si="0"/>
        <v>16554518</v>
      </c>
      <c r="AC22" s="1857"/>
      <c r="AD22" s="1857"/>
      <c r="AE22" s="1857"/>
      <c r="AF22" s="1858"/>
    </row>
    <row r="23" spans="1:32" x14ac:dyDescent="0.2">
      <c r="A23" s="1862" t="s">
        <v>345</v>
      </c>
      <c r="B23" s="1863"/>
      <c r="C23" s="1864"/>
      <c r="D23" s="1865" t="s">
        <v>564</v>
      </c>
      <c r="E23" s="1866"/>
      <c r="F23" s="1866"/>
      <c r="G23" s="1866"/>
      <c r="H23" s="1866"/>
      <c r="I23" s="1866"/>
      <c r="J23" s="1866"/>
      <c r="K23" s="1866"/>
      <c r="L23" s="1866"/>
      <c r="M23" s="1866"/>
      <c r="N23" s="1866"/>
      <c r="O23" s="1866"/>
      <c r="P23" s="1866"/>
      <c r="Q23" s="1866"/>
      <c r="R23" s="1866"/>
      <c r="S23" s="1866"/>
      <c r="T23" s="1866"/>
      <c r="U23" s="1866"/>
      <c r="V23" s="1866"/>
      <c r="W23" s="1867"/>
      <c r="X23" s="645">
        <v>8843932</v>
      </c>
      <c r="Y23" s="645">
        <v>6141146</v>
      </c>
      <c r="Z23" s="645">
        <v>5557659</v>
      </c>
      <c r="AA23" s="645">
        <v>7128337</v>
      </c>
      <c r="AB23" s="1856">
        <f t="shared" si="0"/>
        <v>27671074</v>
      </c>
      <c r="AC23" s="1857"/>
      <c r="AD23" s="1857"/>
      <c r="AE23" s="1857"/>
      <c r="AF23" s="1858"/>
    </row>
    <row r="24" spans="1:32" x14ac:dyDescent="0.2">
      <c r="A24" s="1859" t="s">
        <v>565</v>
      </c>
      <c r="B24" s="1860"/>
      <c r="C24" s="1861"/>
      <c r="D24" s="1853" t="s">
        <v>566</v>
      </c>
      <c r="E24" s="1854"/>
      <c r="F24" s="1854"/>
      <c r="G24" s="1854"/>
      <c r="H24" s="1854"/>
      <c r="I24" s="1854"/>
      <c r="J24" s="1854"/>
      <c r="K24" s="1854"/>
      <c r="L24" s="1854"/>
      <c r="M24" s="1854"/>
      <c r="N24" s="1854"/>
      <c r="O24" s="1854"/>
      <c r="P24" s="1854"/>
      <c r="Q24" s="1854"/>
      <c r="R24" s="1854"/>
      <c r="S24" s="1854"/>
      <c r="T24" s="1854"/>
      <c r="U24" s="1854"/>
      <c r="V24" s="1854"/>
      <c r="W24" s="1855"/>
      <c r="X24" s="646">
        <f t="shared" ref="X24:AA24" si="4">SUM(X21:X23)</f>
        <v>66476825</v>
      </c>
      <c r="Y24" s="646">
        <f>SUM(Y21:Y23)</f>
        <v>33526897</v>
      </c>
      <c r="Z24" s="646">
        <f t="shared" si="4"/>
        <v>30537423</v>
      </c>
      <c r="AA24" s="646">
        <f t="shared" si="4"/>
        <v>39931052</v>
      </c>
      <c r="AB24" s="1856">
        <f t="shared" si="0"/>
        <v>170472197</v>
      </c>
      <c r="AC24" s="1857"/>
      <c r="AD24" s="1857"/>
      <c r="AE24" s="1857"/>
      <c r="AF24" s="1858"/>
    </row>
    <row r="25" spans="1:32" x14ac:dyDescent="0.2">
      <c r="A25" s="1859" t="s">
        <v>567</v>
      </c>
      <c r="B25" s="1860"/>
      <c r="C25" s="1861"/>
      <c r="D25" s="1853" t="s">
        <v>568</v>
      </c>
      <c r="E25" s="1854"/>
      <c r="F25" s="1854"/>
      <c r="G25" s="1854"/>
      <c r="H25" s="1854"/>
      <c r="I25" s="1854"/>
      <c r="J25" s="1854"/>
      <c r="K25" s="1854"/>
      <c r="L25" s="1854"/>
      <c r="M25" s="1854"/>
      <c r="N25" s="1854"/>
      <c r="O25" s="1854"/>
      <c r="P25" s="1854"/>
      <c r="Q25" s="1854"/>
      <c r="R25" s="1854"/>
      <c r="S25" s="1854"/>
      <c r="T25" s="1854"/>
      <c r="U25" s="1854"/>
      <c r="V25" s="1854"/>
      <c r="W25" s="1855"/>
      <c r="X25" s="646">
        <v>94127451</v>
      </c>
      <c r="Y25" s="646">
        <v>118021</v>
      </c>
      <c r="Z25" s="646">
        <v>686253</v>
      </c>
      <c r="AA25" s="646">
        <v>159130</v>
      </c>
      <c r="AB25" s="1856">
        <f t="shared" si="0"/>
        <v>95090855</v>
      </c>
      <c r="AC25" s="1857"/>
      <c r="AD25" s="1857"/>
      <c r="AE25" s="1857"/>
      <c r="AF25" s="1858"/>
    </row>
    <row r="26" spans="1:32" x14ac:dyDescent="0.2">
      <c r="A26" s="1859" t="s">
        <v>569</v>
      </c>
      <c r="B26" s="1860"/>
      <c r="C26" s="1861"/>
      <c r="D26" s="1853" t="s">
        <v>570</v>
      </c>
      <c r="E26" s="1854"/>
      <c r="F26" s="1854"/>
      <c r="G26" s="1854"/>
      <c r="H26" s="1854"/>
      <c r="I26" s="1854"/>
      <c r="J26" s="1854"/>
      <c r="K26" s="1854"/>
      <c r="L26" s="1854"/>
      <c r="M26" s="1854"/>
      <c r="N26" s="1854"/>
      <c r="O26" s="1854"/>
      <c r="P26" s="1854"/>
      <c r="Q26" s="1854"/>
      <c r="R26" s="1854"/>
      <c r="S26" s="1854"/>
      <c r="T26" s="1854"/>
      <c r="U26" s="1854"/>
      <c r="V26" s="1854"/>
      <c r="W26" s="1855"/>
      <c r="X26" s="646">
        <v>164753049</v>
      </c>
      <c r="Y26" s="646">
        <v>3485756</v>
      </c>
      <c r="Z26" s="646">
        <v>3472885</v>
      </c>
      <c r="AA26" s="646">
        <v>619688</v>
      </c>
      <c r="AB26" s="1856">
        <f t="shared" si="0"/>
        <v>172331378</v>
      </c>
      <c r="AC26" s="1857"/>
      <c r="AD26" s="1857"/>
      <c r="AE26" s="1857"/>
      <c r="AF26" s="1858"/>
    </row>
    <row r="27" spans="1:32" ht="15" x14ac:dyDescent="0.2">
      <c r="A27" s="1850" t="s">
        <v>571</v>
      </c>
      <c r="B27" s="1851"/>
      <c r="C27" s="1852"/>
      <c r="D27" s="1853" t="s">
        <v>572</v>
      </c>
      <c r="E27" s="1854"/>
      <c r="F27" s="1854"/>
      <c r="G27" s="1854"/>
      <c r="H27" s="1854"/>
      <c r="I27" s="1854"/>
      <c r="J27" s="1854"/>
      <c r="K27" s="1854"/>
      <c r="L27" s="1854"/>
      <c r="M27" s="1854"/>
      <c r="N27" s="1854"/>
      <c r="O27" s="1854"/>
      <c r="P27" s="1854"/>
      <c r="Q27" s="1854"/>
      <c r="R27" s="1854"/>
      <c r="S27" s="1854"/>
      <c r="T27" s="1854"/>
      <c r="U27" s="1854"/>
      <c r="V27" s="1854"/>
      <c r="W27" s="1855"/>
      <c r="X27" s="646">
        <f>X8+X11+X16-X20-X24-X25-X26</f>
        <v>130164022</v>
      </c>
      <c r="Y27" s="646">
        <f>Y8+Y11+Y16-Y20-Y24-Y25-Y26</f>
        <v>-145174</v>
      </c>
      <c r="Z27" s="646">
        <f>Z8+Z11+Z16-Z20-Z24-Z25-Z26</f>
        <v>-1338463</v>
      </c>
      <c r="AA27" s="646">
        <f>AA8+AA11+AA16-AA20-AA24-AA25-AA26-20000</f>
        <v>-131428</v>
      </c>
      <c r="AB27" s="1856">
        <f t="shared" si="0"/>
        <v>128548957</v>
      </c>
      <c r="AC27" s="1857"/>
      <c r="AD27" s="1857"/>
      <c r="AE27" s="1857"/>
      <c r="AF27" s="1858"/>
    </row>
    <row r="28" spans="1:32" x14ac:dyDescent="0.2">
      <c r="A28" s="1862" t="s">
        <v>535</v>
      </c>
      <c r="B28" s="1863"/>
      <c r="C28" s="1864"/>
      <c r="D28" s="1865" t="s">
        <v>573</v>
      </c>
      <c r="E28" s="1866"/>
      <c r="F28" s="1866"/>
      <c r="G28" s="1866"/>
      <c r="H28" s="1866"/>
      <c r="I28" s="1866"/>
      <c r="J28" s="1866"/>
      <c r="K28" s="1866"/>
      <c r="L28" s="1866"/>
      <c r="M28" s="1866"/>
      <c r="N28" s="1866"/>
      <c r="O28" s="1866"/>
      <c r="P28" s="1866"/>
      <c r="Q28" s="1866"/>
      <c r="R28" s="1866"/>
      <c r="S28" s="1866"/>
      <c r="T28" s="1866"/>
      <c r="U28" s="1866"/>
      <c r="V28" s="1866"/>
      <c r="W28" s="1867"/>
      <c r="X28" s="645">
        <v>470190</v>
      </c>
      <c r="Y28" s="645">
        <v>807</v>
      </c>
      <c r="Z28" s="645">
        <v>1595</v>
      </c>
      <c r="AA28" s="645">
        <v>679</v>
      </c>
      <c r="AB28" s="1856">
        <f t="shared" si="0"/>
        <v>473271</v>
      </c>
      <c r="AC28" s="1857"/>
      <c r="AD28" s="1857"/>
      <c r="AE28" s="1857"/>
      <c r="AF28" s="1858"/>
    </row>
    <row r="29" spans="1:32" x14ac:dyDescent="0.2">
      <c r="A29" s="1862" t="s">
        <v>531</v>
      </c>
      <c r="B29" s="1863"/>
      <c r="C29" s="1864"/>
      <c r="D29" s="1865" t="s">
        <v>574</v>
      </c>
      <c r="E29" s="1866"/>
      <c r="F29" s="1866"/>
      <c r="G29" s="1866"/>
      <c r="H29" s="1866"/>
      <c r="I29" s="1866"/>
      <c r="J29" s="1866"/>
      <c r="K29" s="1866"/>
      <c r="L29" s="1866"/>
      <c r="M29" s="1866"/>
      <c r="N29" s="1866"/>
      <c r="O29" s="1866"/>
      <c r="P29" s="1866"/>
      <c r="Q29" s="1866"/>
      <c r="R29" s="1866"/>
      <c r="S29" s="1866"/>
      <c r="T29" s="1866"/>
      <c r="U29" s="1866"/>
      <c r="V29" s="1866"/>
      <c r="W29" s="1867"/>
      <c r="X29" s="645"/>
      <c r="Y29" s="645"/>
      <c r="Z29" s="645"/>
      <c r="AA29" s="645"/>
      <c r="AB29" s="1856">
        <f t="shared" si="0"/>
        <v>0</v>
      </c>
      <c r="AC29" s="1857"/>
      <c r="AD29" s="1857"/>
      <c r="AE29" s="1857"/>
      <c r="AF29" s="1858"/>
    </row>
    <row r="30" spans="1:32" x14ac:dyDescent="0.2">
      <c r="A30" s="1862" t="s">
        <v>575</v>
      </c>
      <c r="B30" s="1863"/>
      <c r="C30" s="1864"/>
      <c r="D30" s="1868" t="s">
        <v>576</v>
      </c>
      <c r="E30" s="1869"/>
      <c r="F30" s="1869"/>
      <c r="G30" s="1869"/>
      <c r="H30" s="1869"/>
      <c r="I30" s="1869"/>
      <c r="J30" s="1869"/>
      <c r="K30" s="1869"/>
      <c r="L30" s="1869"/>
      <c r="M30" s="1869"/>
      <c r="N30" s="1869"/>
      <c r="O30" s="1869"/>
      <c r="P30" s="1869"/>
      <c r="Q30" s="1869"/>
      <c r="R30" s="1869"/>
      <c r="S30" s="1869"/>
      <c r="T30" s="1869"/>
      <c r="U30" s="1869"/>
      <c r="V30" s="1869"/>
      <c r="W30" s="1870"/>
      <c r="X30" s="645"/>
      <c r="Y30" s="645"/>
      <c r="Z30" s="645"/>
      <c r="AA30" s="645"/>
      <c r="AB30" s="1856">
        <f t="shared" si="0"/>
        <v>0</v>
      </c>
      <c r="AC30" s="1857"/>
      <c r="AD30" s="1857"/>
      <c r="AE30" s="1857"/>
      <c r="AF30" s="1858"/>
    </row>
    <row r="31" spans="1:32" x14ac:dyDescent="0.2">
      <c r="A31" s="1859" t="s">
        <v>577</v>
      </c>
      <c r="B31" s="1860"/>
      <c r="C31" s="1861"/>
      <c r="D31" s="1853" t="s">
        <v>578</v>
      </c>
      <c r="E31" s="1854"/>
      <c r="F31" s="1854"/>
      <c r="G31" s="1854"/>
      <c r="H31" s="1854"/>
      <c r="I31" s="1854"/>
      <c r="J31" s="1854"/>
      <c r="K31" s="1854"/>
      <c r="L31" s="1854"/>
      <c r="M31" s="1854"/>
      <c r="N31" s="1854"/>
      <c r="O31" s="1854"/>
      <c r="P31" s="1854"/>
      <c r="Q31" s="1854"/>
      <c r="R31" s="1854"/>
      <c r="S31" s="1854"/>
      <c r="T31" s="1854"/>
      <c r="U31" s="1854"/>
      <c r="V31" s="1854"/>
      <c r="W31" s="1855"/>
      <c r="X31" s="646">
        <f>SUM(X28:X29)</f>
        <v>470190</v>
      </c>
      <c r="Y31" s="646">
        <f>SUM(Y28:Y29)</f>
        <v>807</v>
      </c>
      <c r="Z31" s="646">
        <f>SUM(Z28:Z29)</f>
        <v>1595</v>
      </c>
      <c r="AA31" s="646">
        <f>SUM(AA28:AA29)</f>
        <v>679</v>
      </c>
      <c r="AB31" s="1856">
        <f t="shared" si="0"/>
        <v>473271</v>
      </c>
      <c r="AC31" s="1857"/>
      <c r="AD31" s="1857"/>
      <c r="AE31" s="1857"/>
      <c r="AF31" s="1858"/>
    </row>
    <row r="32" spans="1:32" x14ac:dyDescent="0.2">
      <c r="A32" s="1862" t="s">
        <v>533</v>
      </c>
      <c r="B32" s="1863"/>
      <c r="C32" s="1864"/>
      <c r="D32" s="1865" t="s">
        <v>579</v>
      </c>
      <c r="E32" s="1866"/>
      <c r="F32" s="1866"/>
      <c r="G32" s="1866"/>
      <c r="H32" s="1866"/>
      <c r="I32" s="1866"/>
      <c r="J32" s="1866"/>
      <c r="K32" s="1866"/>
      <c r="L32" s="1866"/>
      <c r="M32" s="1866"/>
      <c r="N32" s="1866"/>
      <c r="O32" s="1866"/>
      <c r="P32" s="1866"/>
      <c r="Q32" s="1866"/>
      <c r="R32" s="1866"/>
      <c r="S32" s="1866"/>
      <c r="T32" s="1866"/>
      <c r="U32" s="1866"/>
      <c r="V32" s="1866"/>
      <c r="W32" s="1867"/>
      <c r="X32" s="645">
        <v>163773</v>
      </c>
      <c r="Y32" s="645">
        <v>0</v>
      </c>
      <c r="Z32" s="645">
        <v>0</v>
      </c>
      <c r="AA32" s="645">
        <v>0</v>
      </c>
      <c r="AB32" s="1856">
        <f t="shared" si="0"/>
        <v>163773</v>
      </c>
      <c r="AC32" s="1857"/>
      <c r="AD32" s="1857"/>
      <c r="AE32" s="1857"/>
      <c r="AF32" s="1858"/>
    </row>
    <row r="33" spans="1:32" x14ac:dyDescent="0.2">
      <c r="A33" s="1862" t="s">
        <v>535</v>
      </c>
      <c r="B33" s="1863"/>
      <c r="C33" s="1864"/>
      <c r="D33" s="1865" t="s">
        <v>580</v>
      </c>
      <c r="E33" s="1866"/>
      <c r="F33" s="1866"/>
      <c r="G33" s="1866"/>
      <c r="H33" s="1866"/>
      <c r="I33" s="1866"/>
      <c r="J33" s="1866"/>
      <c r="K33" s="1866"/>
      <c r="L33" s="1866"/>
      <c r="M33" s="1866"/>
      <c r="N33" s="1866"/>
      <c r="O33" s="1866"/>
      <c r="P33" s="1866"/>
      <c r="Q33" s="1866"/>
      <c r="R33" s="1866"/>
      <c r="S33" s="1866"/>
      <c r="T33" s="1866"/>
      <c r="U33" s="1866"/>
      <c r="V33" s="1866"/>
      <c r="W33" s="1867"/>
      <c r="X33" s="645"/>
      <c r="Y33" s="645"/>
      <c r="Z33" s="645"/>
      <c r="AA33" s="645"/>
      <c r="AB33" s="1856">
        <f t="shared" si="0"/>
        <v>0</v>
      </c>
      <c r="AC33" s="1857"/>
      <c r="AD33" s="1857"/>
      <c r="AE33" s="1857"/>
      <c r="AF33" s="1858"/>
    </row>
    <row r="34" spans="1:32" x14ac:dyDescent="0.2">
      <c r="A34" s="1862" t="s">
        <v>536</v>
      </c>
      <c r="B34" s="1863"/>
      <c r="C34" s="1864"/>
      <c r="D34" s="1865" t="s">
        <v>581</v>
      </c>
      <c r="E34" s="1866"/>
      <c r="F34" s="1866"/>
      <c r="G34" s="1866"/>
      <c r="H34" s="1866"/>
      <c r="I34" s="1866"/>
      <c r="J34" s="1866"/>
      <c r="K34" s="1866"/>
      <c r="L34" s="1866"/>
      <c r="M34" s="1866"/>
      <c r="N34" s="1866"/>
      <c r="O34" s="1866"/>
      <c r="P34" s="1866"/>
      <c r="Q34" s="1866"/>
      <c r="R34" s="1866"/>
      <c r="S34" s="1866"/>
      <c r="T34" s="1866"/>
      <c r="U34" s="1866"/>
      <c r="V34" s="1866"/>
      <c r="W34" s="1867"/>
      <c r="X34" s="645"/>
      <c r="Y34" s="645"/>
      <c r="Z34" s="645"/>
      <c r="AA34" s="645"/>
      <c r="AB34" s="1856">
        <f t="shared" si="0"/>
        <v>0</v>
      </c>
      <c r="AC34" s="1857"/>
      <c r="AD34" s="1857"/>
      <c r="AE34" s="1857"/>
      <c r="AF34" s="1858"/>
    </row>
    <row r="35" spans="1:32" x14ac:dyDescent="0.2">
      <c r="A35" s="1862" t="s">
        <v>582</v>
      </c>
      <c r="B35" s="1863"/>
      <c r="C35" s="1864"/>
      <c r="D35" s="1868" t="s">
        <v>583</v>
      </c>
      <c r="E35" s="1869"/>
      <c r="F35" s="1869"/>
      <c r="G35" s="1869"/>
      <c r="H35" s="1869"/>
      <c r="I35" s="1869"/>
      <c r="J35" s="1869"/>
      <c r="K35" s="1869"/>
      <c r="L35" s="1869"/>
      <c r="M35" s="1869"/>
      <c r="N35" s="1869"/>
      <c r="O35" s="1869"/>
      <c r="P35" s="1869"/>
      <c r="Q35" s="1869"/>
      <c r="R35" s="1869"/>
      <c r="S35" s="1869"/>
      <c r="T35" s="1869"/>
      <c r="U35" s="1869"/>
      <c r="V35" s="1869"/>
      <c r="W35" s="1870"/>
      <c r="X35" s="645"/>
      <c r="Y35" s="645"/>
      <c r="Z35" s="645"/>
      <c r="AA35" s="645"/>
      <c r="AB35" s="1856">
        <f t="shared" si="0"/>
        <v>0</v>
      </c>
      <c r="AC35" s="1857"/>
      <c r="AD35" s="1857"/>
      <c r="AE35" s="1857"/>
      <c r="AF35" s="1858"/>
    </row>
    <row r="36" spans="1:32" x14ac:dyDescent="0.2">
      <c r="A36" s="1859" t="s">
        <v>584</v>
      </c>
      <c r="B36" s="1860"/>
      <c r="C36" s="1861"/>
      <c r="D36" s="1853" t="s">
        <v>585</v>
      </c>
      <c r="E36" s="1854"/>
      <c r="F36" s="1854"/>
      <c r="G36" s="1854"/>
      <c r="H36" s="1854"/>
      <c r="I36" s="1854"/>
      <c r="J36" s="1854"/>
      <c r="K36" s="1854"/>
      <c r="L36" s="1854"/>
      <c r="M36" s="1854"/>
      <c r="N36" s="1854"/>
      <c r="O36" s="1854"/>
      <c r="P36" s="1854"/>
      <c r="Q36" s="1854"/>
      <c r="R36" s="1854"/>
      <c r="S36" s="1854"/>
      <c r="T36" s="1854"/>
      <c r="U36" s="1854"/>
      <c r="V36" s="1854"/>
      <c r="W36" s="1855"/>
      <c r="X36" s="646">
        <f>SUM(X32:X34)</f>
        <v>163773</v>
      </c>
      <c r="Y36" s="646">
        <f t="shared" ref="Y36:AA36" si="5">SUM(Y32:Y34)</f>
        <v>0</v>
      </c>
      <c r="Z36" s="646">
        <f t="shared" si="5"/>
        <v>0</v>
      </c>
      <c r="AA36" s="646">
        <f t="shared" si="5"/>
        <v>0</v>
      </c>
      <c r="AB36" s="1856">
        <f t="shared" si="0"/>
        <v>163773</v>
      </c>
      <c r="AC36" s="1857"/>
      <c r="AD36" s="1857"/>
      <c r="AE36" s="1857"/>
      <c r="AF36" s="1858"/>
    </row>
    <row r="37" spans="1:32" ht="15" x14ac:dyDescent="0.2">
      <c r="A37" s="1850" t="s">
        <v>586</v>
      </c>
      <c r="B37" s="1851"/>
      <c r="C37" s="1852"/>
      <c r="D37" s="1853" t="s">
        <v>587</v>
      </c>
      <c r="E37" s="1854"/>
      <c r="F37" s="1854"/>
      <c r="G37" s="1854"/>
      <c r="H37" s="1854"/>
      <c r="I37" s="1854"/>
      <c r="J37" s="1854"/>
      <c r="K37" s="1854"/>
      <c r="L37" s="1854"/>
      <c r="M37" s="1854"/>
      <c r="N37" s="1854"/>
      <c r="O37" s="1854"/>
      <c r="P37" s="1854"/>
      <c r="Q37" s="1854"/>
      <c r="R37" s="1854"/>
      <c r="S37" s="1854"/>
      <c r="T37" s="1854"/>
      <c r="U37" s="1854"/>
      <c r="V37" s="1854"/>
      <c r="W37" s="1855"/>
      <c r="X37" s="646">
        <f>X31-X36</f>
        <v>306417</v>
      </c>
      <c r="Y37" s="646">
        <f t="shared" ref="Y37:AA37" si="6">Y31-Y36</f>
        <v>807</v>
      </c>
      <c r="Z37" s="646">
        <f t="shared" si="6"/>
        <v>1595</v>
      </c>
      <c r="AA37" s="646">
        <f t="shared" si="6"/>
        <v>679</v>
      </c>
      <c r="AB37" s="1856">
        <f t="shared" si="0"/>
        <v>309498</v>
      </c>
      <c r="AC37" s="1857"/>
      <c r="AD37" s="1857"/>
      <c r="AE37" s="1857"/>
      <c r="AF37" s="1858"/>
    </row>
    <row r="38" spans="1:32" ht="15" x14ac:dyDescent="0.2">
      <c r="A38" s="1850" t="s">
        <v>588</v>
      </c>
      <c r="B38" s="1851"/>
      <c r="C38" s="1852"/>
      <c r="D38" s="1853" t="s">
        <v>589</v>
      </c>
      <c r="E38" s="1854"/>
      <c r="F38" s="1854"/>
      <c r="G38" s="1854"/>
      <c r="H38" s="1854"/>
      <c r="I38" s="1854"/>
      <c r="J38" s="1854"/>
      <c r="K38" s="1854"/>
      <c r="L38" s="1854"/>
      <c r="M38" s="1854"/>
      <c r="N38" s="1854"/>
      <c r="O38" s="1854"/>
      <c r="P38" s="1854"/>
      <c r="Q38" s="1854"/>
      <c r="R38" s="1854"/>
      <c r="S38" s="1854"/>
      <c r="T38" s="1854"/>
      <c r="U38" s="1854"/>
      <c r="V38" s="1854"/>
      <c r="W38" s="1855"/>
      <c r="X38" s="646">
        <f t="shared" ref="X38:Z38" si="7">X27+X37</f>
        <v>130470439</v>
      </c>
      <c r="Y38" s="646">
        <f t="shared" si="7"/>
        <v>-144367</v>
      </c>
      <c r="Z38" s="646">
        <f t="shared" si="7"/>
        <v>-1336868</v>
      </c>
      <c r="AA38" s="646">
        <v>-130749</v>
      </c>
      <c r="AB38" s="1856">
        <f t="shared" si="0"/>
        <v>128858455</v>
      </c>
      <c r="AC38" s="1857"/>
      <c r="AD38" s="1857"/>
      <c r="AE38" s="1857"/>
      <c r="AF38" s="1858"/>
    </row>
    <row r="39" spans="1:32" x14ac:dyDescent="0.2">
      <c r="A39" s="1862" t="s">
        <v>537</v>
      </c>
      <c r="B39" s="1863"/>
      <c r="C39" s="1864"/>
      <c r="D39" s="1865" t="s">
        <v>590</v>
      </c>
      <c r="E39" s="1866"/>
      <c r="F39" s="1866"/>
      <c r="G39" s="1866"/>
      <c r="H39" s="1866"/>
      <c r="I39" s="1866"/>
      <c r="J39" s="1866"/>
      <c r="K39" s="1866"/>
      <c r="L39" s="1866"/>
      <c r="M39" s="1866"/>
      <c r="N39" s="1866"/>
      <c r="O39" s="1866"/>
      <c r="P39" s="1866"/>
      <c r="Q39" s="1866"/>
      <c r="R39" s="1866"/>
      <c r="S39" s="1866"/>
      <c r="T39" s="1866"/>
      <c r="U39" s="1866"/>
      <c r="V39" s="1866"/>
      <c r="W39" s="1867"/>
      <c r="X39" s="645">
        <v>0</v>
      </c>
      <c r="Y39" s="645"/>
      <c r="Z39" s="645"/>
      <c r="AA39" s="645"/>
      <c r="AB39" s="1856">
        <f t="shared" si="0"/>
        <v>0</v>
      </c>
      <c r="AC39" s="1857"/>
      <c r="AD39" s="1857"/>
      <c r="AE39" s="1857"/>
      <c r="AF39" s="1858"/>
    </row>
    <row r="40" spans="1:32" x14ac:dyDescent="0.2">
      <c r="A40" s="1862" t="s">
        <v>538</v>
      </c>
      <c r="B40" s="1863"/>
      <c r="C40" s="1864"/>
      <c r="D40" s="1865" t="s">
        <v>591</v>
      </c>
      <c r="E40" s="1866"/>
      <c r="F40" s="1866"/>
      <c r="G40" s="1866"/>
      <c r="H40" s="1866"/>
      <c r="I40" s="1866"/>
      <c r="J40" s="1866"/>
      <c r="K40" s="1866"/>
      <c r="L40" s="1866"/>
      <c r="M40" s="1866"/>
      <c r="N40" s="1866"/>
      <c r="O40" s="1866"/>
      <c r="P40" s="1866"/>
      <c r="Q40" s="1866"/>
      <c r="R40" s="1866"/>
      <c r="S40" s="1866"/>
      <c r="T40" s="1866"/>
      <c r="U40" s="1866"/>
      <c r="V40" s="1866"/>
      <c r="W40" s="1867"/>
      <c r="X40" s="645"/>
      <c r="Y40" s="645"/>
      <c r="Z40" s="645"/>
      <c r="AA40" s="645"/>
      <c r="AB40" s="1856">
        <f t="shared" si="0"/>
        <v>0</v>
      </c>
      <c r="AC40" s="1857"/>
      <c r="AD40" s="1857"/>
      <c r="AE40" s="1857"/>
      <c r="AF40" s="1858"/>
    </row>
    <row r="41" spans="1:32" x14ac:dyDescent="0.2">
      <c r="A41" s="1859" t="s">
        <v>592</v>
      </c>
      <c r="B41" s="1860"/>
      <c r="C41" s="1861"/>
      <c r="D41" s="1853" t="s">
        <v>593</v>
      </c>
      <c r="E41" s="1854"/>
      <c r="F41" s="1854"/>
      <c r="G41" s="1854"/>
      <c r="H41" s="1854"/>
      <c r="I41" s="1854"/>
      <c r="J41" s="1854"/>
      <c r="K41" s="1854"/>
      <c r="L41" s="1854"/>
      <c r="M41" s="1854"/>
      <c r="N41" s="1854"/>
      <c r="O41" s="1854"/>
      <c r="P41" s="1854"/>
      <c r="Q41" s="1854"/>
      <c r="R41" s="1854"/>
      <c r="S41" s="1854"/>
      <c r="T41" s="1854"/>
      <c r="U41" s="1854"/>
      <c r="V41" s="1854"/>
      <c r="W41" s="1855"/>
      <c r="X41" s="646">
        <f>SUM(X39:X40)</f>
        <v>0</v>
      </c>
      <c r="Y41" s="646">
        <f t="shared" ref="Y41:AA41" si="8">SUM(Y39:Y40)</f>
        <v>0</v>
      </c>
      <c r="Z41" s="646"/>
      <c r="AA41" s="646">
        <f t="shared" si="8"/>
        <v>0</v>
      </c>
      <c r="AB41" s="1856">
        <f t="shared" si="0"/>
        <v>0</v>
      </c>
      <c r="AC41" s="1857"/>
      <c r="AD41" s="1857"/>
      <c r="AE41" s="1857"/>
      <c r="AF41" s="1858"/>
    </row>
    <row r="42" spans="1:32" x14ac:dyDescent="0.2">
      <c r="A42" s="1859" t="s">
        <v>594</v>
      </c>
      <c r="B42" s="1860"/>
      <c r="C42" s="1861"/>
      <c r="D42" s="1853" t="s">
        <v>595</v>
      </c>
      <c r="E42" s="1854"/>
      <c r="F42" s="1854"/>
      <c r="G42" s="1854"/>
      <c r="H42" s="1854"/>
      <c r="I42" s="1854"/>
      <c r="J42" s="1854"/>
      <c r="K42" s="1854"/>
      <c r="L42" s="1854"/>
      <c r="M42" s="1854"/>
      <c r="N42" s="1854"/>
      <c r="O42" s="1854"/>
      <c r="P42" s="1854"/>
      <c r="Q42" s="1854"/>
      <c r="R42" s="1854"/>
      <c r="S42" s="1854"/>
      <c r="T42" s="1854"/>
      <c r="U42" s="1854"/>
      <c r="V42" s="1854"/>
      <c r="W42" s="1855"/>
      <c r="X42" s="646">
        <v>0</v>
      </c>
      <c r="Y42" s="646"/>
      <c r="Z42" s="646"/>
      <c r="AA42" s="646"/>
      <c r="AB42" s="1856">
        <f t="shared" si="0"/>
        <v>0</v>
      </c>
      <c r="AC42" s="1857"/>
      <c r="AD42" s="1857"/>
      <c r="AE42" s="1857"/>
      <c r="AF42" s="1858"/>
    </row>
    <row r="43" spans="1:32" ht="15" x14ac:dyDescent="0.2">
      <c r="A43" s="1850" t="s">
        <v>596</v>
      </c>
      <c r="B43" s="1851"/>
      <c r="C43" s="1852"/>
      <c r="D43" s="1853" t="s">
        <v>597</v>
      </c>
      <c r="E43" s="1854"/>
      <c r="F43" s="1854"/>
      <c r="G43" s="1854"/>
      <c r="H43" s="1854"/>
      <c r="I43" s="1854"/>
      <c r="J43" s="1854"/>
      <c r="K43" s="1854"/>
      <c r="L43" s="1854"/>
      <c r="M43" s="1854"/>
      <c r="N43" s="1854"/>
      <c r="O43" s="1854"/>
      <c r="P43" s="1854"/>
      <c r="Q43" s="1854"/>
      <c r="R43" s="1854"/>
      <c r="S43" s="1854"/>
      <c r="T43" s="1854"/>
      <c r="U43" s="1854"/>
      <c r="V43" s="1854"/>
      <c r="W43" s="1855"/>
      <c r="X43" s="646">
        <f>X41-X42</f>
        <v>0</v>
      </c>
      <c r="Y43" s="646">
        <f t="shared" ref="Y43:AA43" si="9">Y41-Y42</f>
        <v>0</v>
      </c>
      <c r="Z43" s="646">
        <f t="shared" si="9"/>
        <v>0</v>
      </c>
      <c r="AA43" s="646">
        <f t="shared" si="9"/>
        <v>0</v>
      </c>
      <c r="AB43" s="1856">
        <f t="shared" si="0"/>
        <v>0</v>
      </c>
      <c r="AC43" s="1857"/>
      <c r="AD43" s="1857"/>
      <c r="AE43" s="1857"/>
      <c r="AF43" s="1858"/>
    </row>
    <row r="44" spans="1:32" ht="15" x14ac:dyDescent="0.2">
      <c r="A44" s="1850" t="s">
        <v>598</v>
      </c>
      <c r="B44" s="1851"/>
      <c r="C44" s="1852"/>
      <c r="D44" s="1853" t="s">
        <v>599</v>
      </c>
      <c r="E44" s="1854"/>
      <c r="F44" s="1854"/>
      <c r="G44" s="1854"/>
      <c r="H44" s="1854"/>
      <c r="I44" s="1854"/>
      <c r="J44" s="1854"/>
      <c r="K44" s="1854"/>
      <c r="L44" s="1854"/>
      <c r="M44" s="1854"/>
      <c r="N44" s="1854"/>
      <c r="O44" s="1854"/>
      <c r="P44" s="1854"/>
      <c r="Q44" s="1854"/>
      <c r="R44" s="1854"/>
      <c r="S44" s="1854"/>
      <c r="T44" s="1854"/>
      <c r="U44" s="1854"/>
      <c r="V44" s="1854"/>
      <c r="W44" s="1855"/>
      <c r="X44" s="646">
        <f>X38+X43</f>
        <v>130470439</v>
      </c>
      <c r="Y44" s="646">
        <f t="shared" ref="Y44:AA44" si="10">Y38+Y43</f>
        <v>-144367</v>
      </c>
      <c r="Z44" s="646">
        <f>Z38+Z43</f>
        <v>-1336868</v>
      </c>
      <c r="AA44" s="646">
        <f t="shared" si="10"/>
        <v>-130749</v>
      </c>
      <c r="AB44" s="1856">
        <f t="shared" si="0"/>
        <v>128858455</v>
      </c>
      <c r="AC44" s="1857"/>
      <c r="AD44" s="1857"/>
      <c r="AE44" s="1857"/>
      <c r="AF44" s="1858"/>
    </row>
  </sheetData>
  <mergeCells count="127">
    <mergeCell ref="A1:AF1"/>
    <mergeCell ref="A2:AF2"/>
    <mergeCell ref="A3:C4"/>
    <mergeCell ref="D3:W4"/>
    <mergeCell ref="X3:X4"/>
    <mergeCell ref="Y3:Y4"/>
    <mergeCell ref="Z3:Z4"/>
    <mergeCell ref="AA3:AA4"/>
    <mergeCell ref="D14:I14"/>
    <mergeCell ref="A7:C7"/>
    <mergeCell ref="D7:W7"/>
    <mergeCell ref="AB7:AF7"/>
    <mergeCell ref="A8:C8"/>
    <mergeCell ref="D8:W8"/>
    <mergeCell ref="AB8:AF8"/>
    <mergeCell ref="AB3:AF4"/>
    <mergeCell ref="A5:C5"/>
    <mergeCell ref="D5:W5"/>
    <mergeCell ref="AB5:AF5"/>
    <mergeCell ref="A6:C6"/>
    <mergeCell ref="D6:W6"/>
    <mergeCell ref="AB6:AF6"/>
    <mergeCell ref="A11:C11"/>
    <mergeCell ref="D11:W11"/>
    <mergeCell ref="AB11:AF11"/>
    <mergeCell ref="A12:C12"/>
    <mergeCell ref="D12:W12"/>
    <mergeCell ref="AB12:AF12"/>
    <mergeCell ref="A9:C9"/>
    <mergeCell ref="D9:W9"/>
    <mergeCell ref="AB9:AF9"/>
    <mergeCell ref="A10:C10"/>
    <mergeCell ref="D10:W10"/>
    <mergeCell ref="AB10:AF10"/>
    <mergeCell ref="A16:C16"/>
    <mergeCell ref="D16:W16"/>
    <mergeCell ref="AB16:AF16"/>
    <mergeCell ref="A13:C13"/>
    <mergeCell ref="D13:W13"/>
    <mergeCell ref="AB13:AF13"/>
    <mergeCell ref="A15:C15"/>
    <mergeCell ref="D15:W15"/>
    <mergeCell ref="AB15:AF15"/>
    <mergeCell ref="A19:C19"/>
    <mergeCell ref="D19:W19"/>
    <mergeCell ref="AB19:AF19"/>
    <mergeCell ref="A20:C20"/>
    <mergeCell ref="D20:W20"/>
    <mergeCell ref="AB20:AF20"/>
    <mergeCell ref="A17:C17"/>
    <mergeCell ref="D17:W17"/>
    <mergeCell ref="AB17:AF17"/>
    <mergeCell ref="A18:C18"/>
    <mergeCell ref="D18:W18"/>
    <mergeCell ref="AB18:AF18"/>
    <mergeCell ref="A23:C23"/>
    <mergeCell ref="D23:W23"/>
    <mergeCell ref="AB23:AF23"/>
    <mergeCell ref="A24:C24"/>
    <mergeCell ref="D24:W24"/>
    <mergeCell ref="AB24:AF24"/>
    <mergeCell ref="A21:C21"/>
    <mergeCell ref="D21:W21"/>
    <mergeCell ref="AB21:AF21"/>
    <mergeCell ref="A22:C22"/>
    <mergeCell ref="D22:W22"/>
    <mergeCell ref="AB22:AF22"/>
    <mergeCell ref="A27:C27"/>
    <mergeCell ref="D27:W27"/>
    <mergeCell ref="AB27:AF27"/>
    <mergeCell ref="A28:C28"/>
    <mergeCell ref="D28:W28"/>
    <mergeCell ref="AB28:AF28"/>
    <mergeCell ref="A25:C25"/>
    <mergeCell ref="D25:W25"/>
    <mergeCell ref="AB25:AF25"/>
    <mergeCell ref="A26:C26"/>
    <mergeCell ref="D26:W26"/>
    <mergeCell ref="AB26:AF26"/>
    <mergeCell ref="A31:C31"/>
    <mergeCell ref="D31:W31"/>
    <mergeCell ref="AB31:AF31"/>
    <mergeCell ref="A32:C32"/>
    <mergeCell ref="D32:W32"/>
    <mergeCell ref="AB32:AF32"/>
    <mergeCell ref="A29:C29"/>
    <mergeCell ref="D29:W29"/>
    <mergeCell ref="AB29:AF29"/>
    <mergeCell ref="A30:C30"/>
    <mergeCell ref="D30:W30"/>
    <mergeCell ref="AB30:AF30"/>
    <mergeCell ref="A35:C35"/>
    <mergeCell ref="D35:W35"/>
    <mergeCell ref="AB35:AF35"/>
    <mergeCell ref="A36:C36"/>
    <mergeCell ref="D36:W36"/>
    <mergeCell ref="AB36:AF36"/>
    <mergeCell ref="A33:C33"/>
    <mergeCell ref="D33:W33"/>
    <mergeCell ref="AB33:AF33"/>
    <mergeCell ref="A34:C34"/>
    <mergeCell ref="D34:W34"/>
    <mergeCell ref="AB34:AF34"/>
    <mergeCell ref="A39:C39"/>
    <mergeCell ref="D39:W39"/>
    <mergeCell ref="AB39:AF39"/>
    <mergeCell ref="A40:C40"/>
    <mergeCell ref="D40:W40"/>
    <mergeCell ref="AB40:AF40"/>
    <mergeCell ref="A37:C37"/>
    <mergeCell ref="D37:W37"/>
    <mergeCell ref="AB37:AF37"/>
    <mergeCell ref="A38:C38"/>
    <mergeCell ref="D38:W38"/>
    <mergeCell ref="AB38:AF38"/>
    <mergeCell ref="A43:C43"/>
    <mergeCell ref="D43:W43"/>
    <mergeCell ref="AB43:AF43"/>
    <mergeCell ref="A44:C44"/>
    <mergeCell ref="D44:W44"/>
    <mergeCell ref="AB44:AF44"/>
    <mergeCell ref="A41:C41"/>
    <mergeCell ref="D41:W41"/>
    <mergeCell ref="AB41:AF41"/>
    <mergeCell ref="A42:C42"/>
    <mergeCell ref="D42:W42"/>
    <mergeCell ref="AB42:AF4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6"/>
  <sheetViews>
    <sheetView workbookViewId="0">
      <selection activeCell="C5" sqref="C5"/>
    </sheetView>
  </sheetViews>
  <sheetFormatPr defaultRowHeight="12.75" x14ac:dyDescent="0.2"/>
  <cols>
    <col min="2" max="2" width="17" customWidth="1"/>
    <col min="3" max="3" width="19" customWidth="1"/>
    <col min="4" max="4" width="17.7109375" customWidth="1"/>
  </cols>
  <sheetData>
    <row r="1" spans="1:4" x14ac:dyDescent="0.2">
      <c r="A1" s="130"/>
      <c r="B1" s="130"/>
      <c r="C1" s="130"/>
      <c r="D1" s="130"/>
    </row>
    <row r="2" spans="1:4" ht="25.5" customHeight="1" x14ac:dyDescent="0.2">
      <c r="A2" s="130"/>
      <c r="B2" s="130"/>
      <c r="C2" s="130"/>
      <c r="D2" s="130"/>
    </row>
    <row r="3" spans="1:4" ht="71.25" customHeight="1" x14ac:dyDescent="0.2">
      <c r="A3" s="130"/>
      <c r="B3" s="130"/>
      <c r="C3" s="130"/>
      <c r="D3" s="130"/>
    </row>
    <row r="4" spans="1:4" ht="22.5" customHeight="1" x14ac:dyDescent="0.2">
      <c r="A4" s="1901" t="s">
        <v>13</v>
      </c>
      <c r="B4" s="1902"/>
      <c r="C4" s="1905" t="s">
        <v>606</v>
      </c>
      <c r="D4" s="1906"/>
    </row>
    <row r="5" spans="1:4" ht="55.5" customHeight="1" x14ac:dyDescent="0.2">
      <c r="A5" s="1903"/>
      <c r="B5" s="1904"/>
      <c r="C5" s="864" t="s">
        <v>600</v>
      </c>
      <c r="D5" s="865" t="s">
        <v>601</v>
      </c>
    </row>
    <row r="6" spans="1:4" ht="85.5" customHeight="1" x14ac:dyDescent="0.2">
      <c r="A6" s="866" t="s">
        <v>82</v>
      </c>
      <c r="B6" s="867" t="s">
        <v>674</v>
      </c>
      <c r="C6" s="868">
        <f>0</f>
        <v>0</v>
      </c>
      <c r="D6" s="869">
        <v>0</v>
      </c>
    </row>
    <row r="7" spans="1:4" ht="60" x14ac:dyDescent="0.2">
      <c r="A7" s="866" t="s">
        <v>83</v>
      </c>
      <c r="B7" s="867" t="s">
        <v>602</v>
      </c>
      <c r="C7" s="870">
        <v>0</v>
      </c>
      <c r="D7" s="871">
        <v>0</v>
      </c>
    </row>
    <row r="8" spans="1:4" ht="84" x14ac:dyDescent="0.2">
      <c r="A8" s="866" t="s">
        <v>423</v>
      </c>
      <c r="B8" s="872" t="s">
        <v>675</v>
      </c>
      <c r="C8" s="873">
        <f>C10+C11</f>
        <v>25</v>
      </c>
      <c r="D8" s="873">
        <f>D10+D11</f>
        <v>686420</v>
      </c>
    </row>
    <row r="9" spans="1:4" x14ac:dyDescent="0.2">
      <c r="A9" s="874" t="s">
        <v>676</v>
      </c>
      <c r="B9" s="875" t="s">
        <v>603</v>
      </c>
      <c r="C9" s="876"/>
      <c r="D9" s="877"/>
    </row>
    <row r="10" spans="1:4" ht="37.5" x14ac:dyDescent="0.2">
      <c r="A10" s="874"/>
      <c r="B10" s="878" t="s">
        <v>677</v>
      </c>
      <c r="C10" s="879">
        <v>2</v>
      </c>
      <c r="D10" s="880">
        <v>376720</v>
      </c>
    </row>
    <row r="11" spans="1:4" ht="13.5" x14ac:dyDescent="0.2">
      <c r="A11" s="874"/>
      <c r="B11" s="881" t="s">
        <v>678</v>
      </c>
      <c r="C11" s="879">
        <v>23</v>
      </c>
      <c r="D11" s="880">
        <v>309700</v>
      </c>
    </row>
    <row r="12" spans="1:4" ht="108" x14ac:dyDescent="0.2">
      <c r="A12" s="882" t="s">
        <v>425</v>
      </c>
      <c r="B12" s="883" t="s">
        <v>679</v>
      </c>
      <c r="C12" s="884">
        <f>C14+C16</f>
        <v>0</v>
      </c>
      <c r="D12" s="884">
        <f>D14+D16</f>
        <v>0</v>
      </c>
    </row>
    <row r="13" spans="1:4" ht="13.5" x14ac:dyDescent="0.2">
      <c r="A13" s="874" t="s">
        <v>2</v>
      </c>
      <c r="B13" s="885" t="s">
        <v>680</v>
      </c>
      <c r="C13" s="886" t="s">
        <v>43</v>
      </c>
      <c r="D13" s="887" t="s">
        <v>43</v>
      </c>
    </row>
    <row r="14" spans="1:4" ht="92.25" customHeight="1" x14ac:dyDescent="0.2">
      <c r="A14" s="874"/>
      <c r="B14" s="888" t="s">
        <v>681</v>
      </c>
      <c r="C14" s="886"/>
      <c r="D14" s="887"/>
    </row>
    <row r="15" spans="1:4" x14ac:dyDescent="0.2">
      <c r="A15" s="889">
        <v>2</v>
      </c>
      <c r="B15" s="890" t="s">
        <v>682</v>
      </c>
      <c r="C15" s="891"/>
      <c r="D15" s="892"/>
    </row>
    <row r="16" spans="1:4" ht="24" x14ac:dyDescent="0.2">
      <c r="A16" s="889"/>
      <c r="B16" s="888" t="s">
        <v>681</v>
      </c>
      <c r="C16" s="891"/>
      <c r="D16" s="892"/>
    </row>
    <row r="17" spans="1:4" ht="13.5" thickBot="1" x14ac:dyDescent="0.25">
      <c r="A17" s="1907" t="s">
        <v>604</v>
      </c>
      <c r="B17" s="1908"/>
      <c r="C17" s="893">
        <f>C12+C8+C7+C6</f>
        <v>25</v>
      </c>
      <c r="D17" s="893">
        <f>D12+D8+D7+D6</f>
        <v>686420</v>
      </c>
    </row>
    <row r="18" spans="1:4" ht="51" customHeight="1" x14ac:dyDescent="0.2">
      <c r="A18" s="894" t="s">
        <v>605</v>
      </c>
      <c r="B18" s="895"/>
      <c r="C18" s="896"/>
      <c r="D18" s="896"/>
    </row>
    <row r="19" spans="1:4" x14ac:dyDescent="0.2">
      <c r="A19" s="1909" t="s">
        <v>683</v>
      </c>
      <c r="B19" s="1910"/>
      <c r="C19" s="1910"/>
      <c r="D19" s="1910"/>
    </row>
    <row r="20" spans="1:4" x14ac:dyDescent="0.2">
      <c r="A20" s="1899" t="s">
        <v>684</v>
      </c>
      <c r="B20" s="1900"/>
      <c r="C20" s="1900"/>
      <c r="D20" s="1900"/>
    </row>
    <row r="21" spans="1:4" x14ac:dyDescent="0.2">
      <c r="A21" s="1899" t="s">
        <v>685</v>
      </c>
      <c r="B21" s="1900"/>
      <c r="C21" s="1900"/>
      <c r="D21" s="1900"/>
    </row>
    <row r="22" spans="1:4" ht="12.75" customHeight="1" x14ac:dyDescent="0.2">
      <c r="A22" s="1911" t="s">
        <v>686</v>
      </c>
      <c r="B22" s="1911"/>
      <c r="C22" s="1911"/>
      <c r="D22" s="1911"/>
    </row>
    <row r="23" spans="1:4" ht="12.75" customHeight="1" x14ac:dyDescent="0.2">
      <c r="A23" s="1911" t="s">
        <v>687</v>
      </c>
      <c r="B23" s="1911"/>
      <c r="C23" s="1911"/>
      <c r="D23" s="1911"/>
    </row>
    <row r="24" spans="1:4" ht="12.75" customHeight="1" x14ac:dyDescent="0.2">
      <c r="A24" s="1899" t="s">
        <v>688</v>
      </c>
      <c r="B24" s="1900"/>
      <c r="C24" s="1900"/>
      <c r="D24" s="1900"/>
    </row>
    <row r="25" spans="1:4" x14ac:dyDescent="0.2">
      <c r="A25" s="1899" t="s">
        <v>689</v>
      </c>
      <c r="B25" s="1900"/>
      <c r="C25" s="1900"/>
      <c r="D25" s="1900"/>
    </row>
    <row r="26" spans="1:4" x14ac:dyDescent="0.2">
      <c r="A26" s="1900"/>
      <c r="B26" s="1900"/>
      <c r="C26" s="1900"/>
      <c r="D26" s="1900"/>
    </row>
  </sheetData>
  <mergeCells count="11">
    <mergeCell ref="A25:D25"/>
    <mergeCell ref="A26:D26"/>
    <mergeCell ref="A24:D24"/>
    <mergeCell ref="A4:B5"/>
    <mergeCell ref="C4:D4"/>
    <mergeCell ref="A17:B17"/>
    <mergeCell ref="A19:D19"/>
    <mergeCell ref="A20:D20"/>
    <mergeCell ref="A21:D21"/>
    <mergeCell ref="A22:D22"/>
    <mergeCell ref="A23:D2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D8"/>
  <sheetViews>
    <sheetView workbookViewId="0">
      <selection activeCell="I20" sqref="I20"/>
    </sheetView>
  </sheetViews>
  <sheetFormatPr defaultRowHeight="12.75" x14ac:dyDescent="0.2"/>
  <cols>
    <col min="1" max="1" width="17.42578125" customWidth="1"/>
    <col min="2" max="2" width="11.42578125" customWidth="1"/>
    <col min="3" max="3" width="21.5703125" customWidth="1"/>
    <col min="4" max="4" width="28.28515625" customWidth="1"/>
  </cols>
  <sheetData>
    <row r="1" spans="1:4" x14ac:dyDescent="0.2">
      <c r="A1" s="649"/>
      <c r="B1" s="649"/>
      <c r="C1" s="649"/>
      <c r="D1" s="649"/>
    </row>
    <row r="2" spans="1:4" ht="24.75" customHeight="1" x14ac:dyDescent="0.2">
      <c r="A2" s="649"/>
      <c r="B2" s="649"/>
      <c r="C2" s="649"/>
      <c r="D2" s="650" t="s">
        <v>357</v>
      </c>
    </row>
    <row r="3" spans="1:4" x14ac:dyDescent="0.2">
      <c r="A3" s="1912" t="s">
        <v>13</v>
      </c>
      <c r="B3" s="1914" t="s">
        <v>607</v>
      </c>
      <c r="C3" s="1914" t="s">
        <v>608</v>
      </c>
      <c r="D3" s="1914" t="s">
        <v>609</v>
      </c>
    </row>
    <row r="4" spans="1:4" x14ac:dyDescent="0.2">
      <c r="A4" s="1913"/>
      <c r="B4" s="1915"/>
      <c r="C4" s="1915"/>
      <c r="D4" s="1915"/>
    </row>
    <row r="5" spans="1:4" x14ac:dyDescent="0.2">
      <c r="A5" s="1916" t="s">
        <v>610</v>
      </c>
      <c r="B5" s="1917"/>
      <c r="C5" s="1917"/>
      <c r="D5" s="1918"/>
    </row>
    <row r="6" spans="1:4" x14ac:dyDescent="0.2">
      <c r="A6" s="651" t="s">
        <v>611</v>
      </c>
      <c r="B6" s="652">
        <v>2017</v>
      </c>
      <c r="C6" s="653">
        <v>16535000</v>
      </c>
      <c r="D6" s="652" t="s">
        <v>612</v>
      </c>
    </row>
    <row r="7" spans="1:4" x14ac:dyDescent="0.2">
      <c r="A7" s="651"/>
      <c r="B7" s="652"/>
      <c r="C7" s="653"/>
      <c r="D7" s="652"/>
    </row>
    <row r="8" spans="1:4" x14ac:dyDescent="0.2">
      <c r="A8" s="654"/>
      <c r="B8" s="655"/>
      <c r="C8" s="655"/>
      <c r="D8" s="655"/>
    </row>
  </sheetData>
  <mergeCells count="5">
    <mergeCell ref="A3:A4"/>
    <mergeCell ref="B3:B4"/>
    <mergeCell ref="C3:C4"/>
    <mergeCell ref="D3:D4"/>
    <mergeCell ref="A5:D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34"/>
  <sheetViews>
    <sheetView topLeftCell="A24" workbookViewId="0">
      <selection activeCell="D16" sqref="D16"/>
    </sheetView>
  </sheetViews>
  <sheetFormatPr defaultRowHeight="12.75" x14ac:dyDescent="0.2"/>
  <cols>
    <col min="1" max="1" width="7.28515625" customWidth="1"/>
    <col min="2" max="2" width="25.28515625" customWidth="1"/>
    <col min="3" max="3" width="16.5703125" customWidth="1"/>
    <col min="4" max="4" width="16.42578125" customWidth="1"/>
    <col min="5" max="5" width="16.7109375" customWidth="1"/>
    <col min="6" max="6" width="16.42578125" customWidth="1"/>
    <col min="7" max="7" width="15.85546875" customWidth="1"/>
    <col min="8" max="8" width="14.5703125" customWidth="1"/>
    <col min="9" max="9" width="14.140625" customWidth="1"/>
    <col min="11" max="11" width="10.85546875" customWidth="1"/>
  </cols>
  <sheetData>
    <row r="1" spans="1:11" ht="67.5" customHeight="1" x14ac:dyDescent="0.2">
      <c r="A1" s="1919"/>
      <c r="B1" s="1920"/>
      <c r="C1" s="1920"/>
      <c r="D1" s="1920"/>
      <c r="E1" s="1920"/>
      <c r="F1" s="1920"/>
      <c r="G1" s="1920"/>
      <c r="H1" s="1920"/>
      <c r="I1" s="1920"/>
      <c r="J1" s="1920"/>
      <c r="K1" s="130"/>
    </row>
    <row r="2" spans="1:11" ht="29.25" customHeight="1" x14ac:dyDescent="0.2">
      <c r="A2" s="1921" t="s">
        <v>613</v>
      </c>
      <c r="B2" s="1922"/>
      <c r="C2" s="1922"/>
      <c r="D2" s="1922"/>
      <c r="E2" s="1922"/>
      <c r="F2" s="1922"/>
      <c r="G2" s="1922"/>
      <c r="H2" s="1922"/>
      <c r="I2" s="1922"/>
      <c r="J2" s="1922"/>
      <c r="K2" s="1922"/>
    </row>
    <row r="3" spans="1:11" ht="156.75" x14ac:dyDescent="0.2">
      <c r="A3" s="675"/>
      <c r="B3" s="675" t="s">
        <v>514</v>
      </c>
      <c r="C3" s="675" t="s">
        <v>614</v>
      </c>
      <c r="D3" s="675" t="s">
        <v>615</v>
      </c>
      <c r="E3" s="675" t="s">
        <v>616</v>
      </c>
      <c r="F3" s="675" t="s">
        <v>617</v>
      </c>
      <c r="G3" s="675" t="s">
        <v>618</v>
      </c>
      <c r="H3" s="675" t="s">
        <v>619</v>
      </c>
      <c r="I3" s="675" t="s">
        <v>620</v>
      </c>
      <c r="J3" s="675" t="s">
        <v>621</v>
      </c>
      <c r="K3" s="675" t="s">
        <v>622</v>
      </c>
    </row>
    <row r="4" spans="1:11" ht="15" x14ac:dyDescent="0.2">
      <c r="A4" s="669">
        <v>1</v>
      </c>
      <c r="B4" s="669">
        <v>2</v>
      </c>
      <c r="C4" s="669">
        <v>3</v>
      </c>
      <c r="D4" s="669">
        <v>4</v>
      </c>
      <c r="E4" s="669">
        <v>5</v>
      </c>
      <c r="F4" s="669">
        <v>6</v>
      </c>
      <c r="G4" s="669">
        <v>7</v>
      </c>
      <c r="H4" s="669">
        <v>8</v>
      </c>
      <c r="I4" s="669">
        <v>9</v>
      </c>
      <c r="J4" s="669">
        <v>10</v>
      </c>
      <c r="K4" s="669">
        <v>11</v>
      </c>
    </row>
    <row r="5" spans="1:11" ht="59.25" customHeight="1" x14ac:dyDescent="0.2">
      <c r="A5" s="670" t="s">
        <v>397</v>
      </c>
      <c r="B5" s="673" t="s">
        <v>623</v>
      </c>
      <c r="C5" s="671">
        <v>76997070</v>
      </c>
      <c r="D5" s="671">
        <v>0</v>
      </c>
      <c r="E5" s="671">
        <v>0</v>
      </c>
      <c r="F5" s="671">
        <v>76997070</v>
      </c>
      <c r="G5" s="671">
        <v>0</v>
      </c>
      <c r="H5" s="671">
        <v>222490926</v>
      </c>
      <c r="I5" s="671">
        <v>76997070</v>
      </c>
      <c r="J5" s="671">
        <v>0</v>
      </c>
      <c r="K5" s="671">
        <v>0</v>
      </c>
    </row>
    <row r="6" spans="1:11" ht="48" customHeight="1" x14ac:dyDescent="0.2">
      <c r="A6" s="670" t="s">
        <v>405</v>
      </c>
      <c r="B6" s="673" t="s">
        <v>624</v>
      </c>
      <c r="C6" s="671">
        <v>0</v>
      </c>
      <c r="D6" s="671">
        <v>0</v>
      </c>
      <c r="E6" s="671">
        <v>0</v>
      </c>
      <c r="F6" s="671">
        <v>0</v>
      </c>
      <c r="G6" s="671">
        <v>0</v>
      </c>
      <c r="H6" s="671">
        <v>0</v>
      </c>
      <c r="I6" s="671">
        <v>0</v>
      </c>
      <c r="J6" s="671">
        <v>0</v>
      </c>
      <c r="K6" s="671">
        <v>0</v>
      </c>
    </row>
    <row r="7" spans="1:11" ht="85.5" x14ac:dyDescent="0.2">
      <c r="A7" s="670" t="s">
        <v>412</v>
      </c>
      <c r="B7" s="673" t="s">
        <v>625</v>
      </c>
      <c r="C7" s="671">
        <v>43557431</v>
      </c>
      <c r="D7" s="671">
        <v>108933</v>
      </c>
      <c r="E7" s="671">
        <v>-2932927</v>
      </c>
      <c r="F7" s="671">
        <v>41243026</v>
      </c>
      <c r="G7" s="671">
        <v>509589</v>
      </c>
      <c r="H7" s="671">
        <v>45193632</v>
      </c>
      <c r="I7" s="671">
        <v>41243026</v>
      </c>
      <c r="J7" s="671">
        <v>509589</v>
      </c>
      <c r="K7" s="671">
        <v>0</v>
      </c>
    </row>
    <row r="8" spans="1:11" ht="128.25" x14ac:dyDescent="0.2">
      <c r="A8" s="670" t="s">
        <v>416</v>
      </c>
      <c r="B8" s="673" t="s">
        <v>626</v>
      </c>
      <c r="C8" s="671">
        <v>13001520</v>
      </c>
      <c r="D8" s="671">
        <v>305240</v>
      </c>
      <c r="E8" s="671">
        <v>0</v>
      </c>
      <c r="F8" s="671">
        <v>13318200</v>
      </c>
      <c r="G8" s="671">
        <v>11440</v>
      </c>
      <c r="H8" s="671">
        <v>31818043</v>
      </c>
      <c r="I8" s="671">
        <v>13318200</v>
      </c>
      <c r="J8" s="671">
        <v>11440</v>
      </c>
      <c r="K8" s="671">
        <v>0</v>
      </c>
    </row>
    <row r="9" spans="1:11" ht="57" x14ac:dyDescent="0.2">
      <c r="A9" s="670" t="s">
        <v>524</v>
      </c>
      <c r="B9" s="673" t="s">
        <v>690</v>
      </c>
      <c r="C9" s="671">
        <v>21667201</v>
      </c>
      <c r="D9" s="671">
        <v>390017</v>
      </c>
      <c r="E9" s="671">
        <v>-145489</v>
      </c>
      <c r="F9" s="671">
        <v>21911729</v>
      </c>
      <c r="G9" s="671">
        <v>0</v>
      </c>
      <c r="H9" s="671">
        <v>23448667</v>
      </c>
      <c r="I9" s="671">
        <v>21911729</v>
      </c>
      <c r="J9" s="671">
        <v>0</v>
      </c>
      <c r="K9" s="671">
        <v>0</v>
      </c>
    </row>
    <row r="10" spans="1:11" ht="57" x14ac:dyDescent="0.2">
      <c r="A10" s="670" t="s">
        <v>525</v>
      </c>
      <c r="B10" s="673" t="s">
        <v>691</v>
      </c>
      <c r="C10" s="671">
        <v>1060200</v>
      </c>
      <c r="D10" s="671">
        <v>-141360</v>
      </c>
      <c r="E10" s="671">
        <v>-760380</v>
      </c>
      <c r="F10" s="671">
        <v>121410</v>
      </c>
      <c r="G10" s="671">
        <v>-37050</v>
      </c>
      <c r="H10" s="671">
        <v>233482</v>
      </c>
      <c r="I10" s="671">
        <v>121410</v>
      </c>
      <c r="J10" s="671">
        <v>0</v>
      </c>
      <c r="K10" s="671">
        <v>37050</v>
      </c>
    </row>
    <row r="11" spans="1:11" ht="14.25" x14ac:dyDescent="0.2">
      <c r="A11" s="672" t="s">
        <v>341</v>
      </c>
      <c r="B11" s="673" t="s">
        <v>16</v>
      </c>
      <c r="C11" s="674">
        <f>SUM(C5:C10)</f>
        <v>156283422</v>
      </c>
      <c r="D11" s="674">
        <f t="shared" ref="D11:K11" si="0">SUM(D5:D10)</f>
        <v>662830</v>
      </c>
      <c r="E11" s="674">
        <f t="shared" si="0"/>
        <v>-3838796</v>
      </c>
      <c r="F11" s="674">
        <f t="shared" si="0"/>
        <v>153591435</v>
      </c>
      <c r="G11" s="674">
        <f t="shared" si="0"/>
        <v>483979</v>
      </c>
      <c r="H11" s="674">
        <f t="shared" si="0"/>
        <v>323184750</v>
      </c>
      <c r="I11" s="674">
        <f t="shared" si="0"/>
        <v>153591435</v>
      </c>
      <c r="J11" s="674">
        <f t="shared" si="0"/>
        <v>521029</v>
      </c>
      <c r="K11" s="674">
        <f t="shared" si="0"/>
        <v>37050</v>
      </c>
    </row>
    <row r="12" spans="1:11" x14ac:dyDescent="0.2">
      <c r="A12" s="656"/>
      <c r="B12" s="657"/>
      <c r="C12" s="658"/>
      <c r="D12" s="659"/>
      <c r="E12" s="659"/>
      <c r="F12" s="659"/>
      <c r="G12" s="659"/>
      <c r="H12" s="659"/>
      <c r="I12" s="659"/>
      <c r="J12" s="659"/>
      <c r="K12" s="30"/>
    </row>
    <row r="13" spans="1:11" x14ac:dyDescent="0.2">
      <c r="A13" s="130"/>
      <c r="B13" s="635"/>
      <c r="C13" s="25"/>
      <c r="D13" s="25"/>
      <c r="E13" s="25"/>
      <c r="F13" s="25"/>
      <c r="G13" s="25"/>
      <c r="H13" s="660"/>
      <c r="I13" s="661"/>
      <c r="J13" s="130"/>
      <c r="K13" s="130"/>
    </row>
    <row r="14" spans="1:11" x14ac:dyDescent="0.2">
      <c r="A14" s="130"/>
      <c r="B14" s="635"/>
      <c r="C14" s="25"/>
      <c r="D14" s="25"/>
      <c r="E14" s="25"/>
      <c r="F14" s="25"/>
      <c r="G14" s="25"/>
      <c r="H14" s="660"/>
      <c r="I14" s="661"/>
      <c r="J14" s="130"/>
      <c r="K14" s="130"/>
    </row>
    <row r="15" spans="1:11" ht="27.75" customHeight="1" x14ac:dyDescent="0.2">
      <c r="A15" s="1923" t="s">
        <v>692</v>
      </c>
      <c r="B15" s="1924"/>
      <c r="C15" s="1924"/>
      <c r="D15" s="1924"/>
      <c r="E15" s="1924"/>
      <c r="F15" s="1924"/>
      <c r="G15" s="25"/>
      <c r="H15" s="660"/>
      <c r="I15" s="661"/>
      <c r="J15" s="130"/>
      <c r="K15" s="130"/>
    </row>
    <row r="16" spans="1:11" ht="135" x14ac:dyDescent="0.2">
      <c r="A16" s="664"/>
      <c r="B16" s="664" t="s">
        <v>514</v>
      </c>
      <c r="C16" s="664" t="s">
        <v>627</v>
      </c>
      <c r="D16" s="664" t="s">
        <v>628</v>
      </c>
      <c r="E16" s="664" t="s">
        <v>629</v>
      </c>
      <c r="F16" s="664" t="s">
        <v>630</v>
      </c>
      <c r="G16" s="25"/>
      <c r="H16" s="660"/>
      <c r="I16" s="661"/>
      <c r="J16" s="130"/>
      <c r="K16" s="130"/>
    </row>
    <row r="17" spans="1:11" ht="15" x14ac:dyDescent="0.2">
      <c r="A17" s="664">
        <v>1</v>
      </c>
      <c r="B17" s="664">
        <v>2</v>
      </c>
      <c r="C17" s="664">
        <v>3</v>
      </c>
      <c r="D17" s="664">
        <v>4</v>
      </c>
      <c r="E17" s="664">
        <v>5</v>
      </c>
      <c r="F17" s="664">
        <v>6</v>
      </c>
      <c r="G17" s="25"/>
      <c r="H17" s="660"/>
      <c r="I17" s="661"/>
      <c r="J17" s="130"/>
      <c r="K17" s="130"/>
    </row>
    <row r="18" spans="1:11" ht="63.75" x14ac:dyDescent="0.2">
      <c r="A18" s="665" t="s">
        <v>525</v>
      </c>
      <c r="B18" s="633" t="s">
        <v>694</v>
      </c>
      <c r="C18" s="634">
        <v>2506980</v>
      </c>
      <c r="D18" s="634">
        <v>2506980</v>
      </c>
      <c r="E18" s="634">
        <v>0</v>
      </c>
      <c r="F18" s="634">
        <v>0</v>
      </c>
      <c r="G18" s="25"/>
      <c r="H18" s="660"/>
      <c r="I18" s="661"/>
      <c r="J18" s="130"/>
      <c r="K18" s="130"/>
    </row>
    <row r="19" spans="1:11" ht="51" x14ac:dyDescent="0.2">
      <c r="A19" s="666" t="s">
        <v>338</v>
      </c>
      <c r="B19" s="667" t="s">
        <v>695</v>
      </c>
      <c r="C19" s="668">
        <v>2506980</v>
      </c>
      <c r="D19" s="668">
        <v>2506980</v>
      </c>
      <c r="E19" s="668">
        <v>0</v>
      </c>
      <c r="F19" s="668">
        <v>0</v>
      </c>
      <c r="G19" s="25"/>
      <c r="H19" s="660"/>
      <c r="I19" s="661"/>
      <c r="J19" s="130"/>
      <c r="K19" s="130"/>
    </row>
    <row r="20" spans="1:11" ht="38.25" customHeight="1" x14ac:dyDescent="0.2">
      <c r="A20" s="665" t="s">
        <v>344</v>
      </c>
      <c r="B20" s="633" t="s">
        <v>696</v>
      </c>
      <c r="C20" s="634">
        <v>14999999</v>
      </c>
      <c r="D20" s="634">
        <v>14999999</v>
      </c>
      <c r="E20" s="634">
        <v>0</v>
      </c>
      <c r="F20" s="634">
        <v>0</v>
      </c>
      <c r="G20" s="25"/>
      <c r="H20" s="660"/>
      <c r="I20" s="661"/>
      <c r="J20" s="130"/>
      <c r="K20" s="130"/>
    </row>
    <row r="21" spans="1:11" ht="38.25" x14ac:dyDescent="0.2">
      <c r="A21" s="665" t="s">
        <v>345</v>
      </c>
      <c r="B21" s="633" t="s">
        <v>697</v>
      </c>
      <c r="C21" s="634">
        <v>35049000</v>
      </c>
      <c r="D21" s="634">
        <v>0</v>
      </c>
      <c r="E21" s="634">
        <v>35049000</v>
      </c>
      <c r="F21" s="634">
        <v>0</v>
      </c>
      <c r="G21" s="25"/>
      <c r="H21" s="660"/>
      <c r="I21" s="661"/>
      <c r="J21" s="130"/>
      <c r="K21" s="130"/>
    </row>
    <row r="22" spans="1:11" ht="51" x14ac:dyDescent="0.2">
      <c r="A22" s="666" t="s">
        <v>698</v>
      </c>
      <c r="B22" s="667" t="s">
        <v>699</v>
      </c>
      <c r="C22" s="668">
        <v>50048999</v>
      </c>
      <c r="D22" s="668">
        <v>14999999</v>
      </c>
      <c r="E22" s="668">
        <v>35049000</v>
      </c>
      <c r="F22" s="668">
        <v>0</v>
      </c>
      <c r="G22" s="25"/>
      <c r="H22" s="662"/>
      <c r="I22" s="661"/>
      <c r="J22" s="130"/>
      <c r="K22" s="130"/>
    </row>
    <row r="23" spans="1:11" ht="63.75" customHeight="1" x14ac:dyDescent="0.2">
      <c r="A23" s="666" t="s">
        <v>631</v>
      </c>
      <c r="B23" s="667" t="s">
        <v>700</v>
      </c>
      <c r="C23" s="668">
        <v>52555979</v>
      </c>
      <c r="D23" s="668">
        <v>17506979</v>
      </c>
      <c r="E23" s="668">
        <v>35049000</v>
      </c>
      <c r="F23" s="668">
        <v>0</v>
      </c>
      <c r="G23" s="25"/>
      <c r="H23" s="663"/>
      <c r="I23" s="661"/>
      <c r="J23" s="130"/>
      <c r="K23" s="130"/>
    </row>
    <row r="24" spans="1:11" ht="63.75" customHeight="1" x14ac:dyDescent="0.2">
      <c r="A24" s="665" t="s">
        <v>633</v>
      </c>
      <c r="B24" s="633" t="s">
        <v>701</v>
      </c>
      <c r="C24" s="634">
        <v>139954</v>
      </c>
      <c r="D24" s="634">
        <v>139954</v>
      </c>
      <c r="E24" s="634">
        <v>0</v>
      </c>
      <c r="F24" s="634">
        <v>0</v>
      </c>
      <c r="G24" s="25"/>
      <c r="H24" s="663"/>
      <c r="I24" s="661"/>
      <c r="J24" s="130"/>
      <c r="K24" s="130"/>
    </row>
    <row r="25" spans="1:11" ht="38.25" x14ac:dyDescent="0.2">
      <c r="A25" s="665" t="s">
        <v>702</v>
      </c>
      <c r="B25" s="633" t="s">
        <v>703</v>
      </c>
      <c r="C25" s="634">
        <v>1000000</v>
      </c>
      <c r="D25" s="634">
        <v>1000000</v>
      </c>
      <c r="E25" s="634">
        <v>0</v>
      </c>
      <c r="F25" s="634">
        <v>0</v>
      </c>
      <c r="G25" s="25"/>
      <c r="H25" s="663"/>
      <c r="I25" s="661"/>
      <c r="J25" s="130"/>
      <c r="K25" s="130"/>
    </row>
    <row r="26" spans="1:11" ht="76.5" customHeight="1" x14ac:dyDescent="0.2">
      <c r="A26" s="665" t="s">
        <v>704</v>
      </c>
      <c r="B26" s="633" t="s">
        <v>705</v>
      </c>
      <c r="C26" s="634">
        <v>4278125</v>
      </c>
      <c r="D26" s="634">
        <v>4278125</v>
      </c>
      <c r="E26" s="634">
        <v>0</v>
      </c>
      <c r="F26" s="634">
        <v>0</v>
      </c>
      <c r="G26" s="25"/>
      <c r="H26" s="663"/>
      <c r="I26" s="661"/>
      <c r="J26" s="130"/>
      <c r="K26" s="130"/>
    </row>
    <row r="27" spans="1:11" ht="89.25" customHeight="1" x14ac:dyDescent="0.2">
      <c r="A27" s="665" t="s">
        <v>706</v>
      </c>
      <c r="B27" s="633" t="s">
        <v>632</v>
      </c>
      <c r="C27" s="634">
        <v>17926000</v>
      </c>
      <c r="D27" s="634">
        <v>17926000</v>
      </c>
      <c r="E27" s="634">
        <v>0</v>
      </c>
      <c r="F27" s="634">
        <v>0</v>
      </c>
      <c r="G27" s="25"/>
      <c r="H27" s="663"/>
      <c r="I27" s="661"/>
      <c r="J27" s="130"/>
      <c r="K27" s="130"/>
    </row>
    <row r="28" spans="1:11" ht="51" x14ac:dyDescent="0.2">
      <c r="A28" s="665" t="s">
        <v>707</v>
      </c>
      <c r="B28" s="633" t="s">
        <v>634</v>
      </c>
      <c r="C28" s="634">
        <v>2476080</v>
      </c>
      <c r="D28" s="634">
        <v>2476080</v>
      </c>
      <c r="E28" s="634">
        <v>0</v>
      </c>
      <c r="F28" s="634">
        <v>0</v>
      </c>
      <c r="G28" s="25"/>
      <c r="H28" s="663"/>
      <c r="I28" s="661"/>
      <c r="J28" s="130"/>
      <c r="K28" s="130"/>
    </row>
    <row r="29" spans="1:11" ht="38.25" x14ac:dyDescent="0.2">
      <c r="A29" s="666" t="s">
        <v>708</v>
      </c>
      <c r="B29" s="667" t="s">
        <v>709</v>
      </c>
      <c r="C29" s="668">
        <v>2476080</v>
      </c>
      <c r="D29" s="668">
        <v>2476080</v>
      </c>
      <c r="E29" s="668">
        <v>0</v>
      </c>
      <c r="F29" s="668">
        <v>0</v>
      </c>
      <c r="G29" s="25"/>
      <c r="H29" s="663"/>
      <c r="I29" s="661"/>
      <c r="J29" s="130"/>
      <c r="K29" s="130"/>
    </row>
    <row r="30" spans="1:11" x14ac:dyDescent="0.2">
      <c r="A30" s="665" t="s">
        <v>710</v>
      </c>
      <c r="B30" s="633" t="s">
        <v>711</v>
      </c>
      <c r="C30" s="634">
        <v>429686</v>
      </c>
      <c r="D30" s="634">
        <v>429686</v>
      </c>
      <c r="E30" s="634">
        <v>0</v>
      </c>
      <c r="F30" s="634">
        <v>0</v>
      </c>
    </row>
    <row r="31" spans="1:11" ht="38.25" x14ac:dyDescent="0.2">
      <c r="A31" s="665" t="s">
        <v>712</v>
      </c>
      <c r="B31" s="633" t="s">
        <v>713</v>
      </c>
      <c r="C31" s="634">
        <v>1107150</v>
      </c>
      <c r="D31" s="634">
        <v>1107150</v>
      </c>
      <c r="E31" s="634">
        <v>0</v>
      </c>
      <c r="F31" s="634">
        <v>0</v>
      </c>
    </row>
    <row r="32" spans="1:11" ht="38.25" x14ac:dyDescent="0.2">
      <c r="A32" s="665" t="s">
        <v>714</v>
      </c>
      <c r="B32" s="633" t="s">
        <v>715</v>
      </c>
      <c r="C32" s="634">
        <v>1001500</v>
      </c>
      <c r="D32" s="634">
        <v>1001500</v>
      </c>
      <c r="E32" s="634">
        <v>0</v>
      </c>
      <c r="F32" s="634">
        <v>0</v>
      </c>
    </row>
    <row r="33" spans="1:6" ht="38.25" x14ac:dyDescent="0.2">
      <c r="A33" s="665" t="s">
        <v>716</v>
      </c>
      <c r="B33" s="633" t="s">
        <v>717</v>
      </c>
      <c r="C33" s="634">
        <v>1468000</v>
      </c>
      <c r="D33" s="634">
        <v>1468000</v>
      </c>
      <c r="E33" s="634">
        <v>0</v>
      </c>
      <c r="F33" s="634">
        <v>0</v>
      </c>
    </row>
    <row r="34" spans="1:6" ht="38.25" x14ac:dyDescent="0.2">
      <c r="A34" s="666" t="s">
        <v>718</v>
      </c>
      <c r="B34" s="667" t="s">
        <v>719</v>
      </c>
      <c r="C34" s="668">
        <v>82382474</v>
      </c>
      <c r="D34" s="668">
        <v>47333474</v>
      </c>
      <c r="E34" s="668">
        <v>35049000</v>
      </c>
      <c r="F34" s="668">
        <v>0</v>
      </c>
    </row>
  </sheetData>
  <mergeCells count="3">
    <mergeCell ref="A1:J1"/>
    <mergeCell ref="A2:K2"/>
    <mergeCell ref="A15:F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3"/>
  <sheetViews>
    <sheetView view="pageBreakPreview" zoomScaleSheetLayoutView="100" workbookViewId="0">
      <selection activeCell="E178" sqref="E178"/>
    </sheetView>
  </sheetViews>
  <sheetFormatPr defaultRowHeight="12.75" x14ac:dyDescent="0.2"/>
  <cols>
    <col min="1" max="1" width="4.140625" style="41" customWidth="1"/>
    <col min="2" max="2" width="51.42578125" style="42" customWidth="1"/>
    <col min="3" max="3" width="11.42578125" style="58" customWidth="1"/>
    <col min="4" max="4" width="11.5703125" style="58" customWidth="1"/>
    <col min="5" max="5" width="11.7109375" style="59" customWidth="1"/>
    <col min="6" max="16384" width="9.140625" style="2"/>
  </cols>
  <sheetData>
    <row r="1" spans="1:6" ht="12.75" customHeight="1" x14ac:dyDescent="0.2">
      <c r="C1" s="1307"/>
      <c r="D1" s="1307"/>
      <c r="E1" s="1307"/>
      <c r="F1" s="65"/>
    </row>
    <row r="6" spans="1:6" ht="13.5" thickBot="1" x14ac:dyDescent="0.25">
      <c r="C6" s="43"/>
      <c r="D6" s="43"/>
      <c r="E6" s="44"/>
    </row>
    <row r="7" spans="1:6" ht="5.25" customHeight="1" x14ac:dyDescent="0.2">
      <c r="A7" s="45"/>
      <c r="B7" s="46"/>
      <c r="C7" s="47"/>
      <c r="D7" s="47"/>
      <c r="E7" s="48"/>
    </row>
    <row r="8" spans="1:6" s="3" customFormat="1" x14ac:dyDescent="0.2">
      <c r="A8" s="1308" t="s">
        <v>13</v>
      </c>
      <c r="B8" s="1309"/>
      <c r="C8" s="49" t="s">
        <v>14</v>
      </c>
      <c r="D8" s="49" t="s">
        <v>15</v>
      </c>
      <c r="E8" s="1310" t="s">
        <v>16</v>
      </c>
    </row>
    <row r="9" spans="1:6" s="3" customFormat="1" x14ac:dyDescent="0.2">
      <c r="A9" s="1308"/>
      <c r="B9" s="1309"/>
      <c r="C9" s="49" t="s">
        <v>17</v>
      </c>
      <c r="D9" s="49" t="s">
        <v>17</v>
      </c>
      <c r="E9" s="1310"/>
    </row>
    <row r="10" spans="1:6" ht="4.5" customHeight="1" thickBot="1" x14ac:dyDescent="0.25">
      <c r="A10" s="50"/>
      <c r="B10" s="51"/>
      <c r="C10" s="52"/>
      <c r="D10" s="52"/>
      <c r="E10" s="53"/>
    </row>
    <row r="11" spans="1:6" ht="13.5" customHeight="1" x14ac:dyDescent="0.15">
      <c r="A11" s="1311" t="s">
        <v>18</v>
      </c>
      <c r="B11" s="1312"/>
      <c r="C11" s="1312"/>
      <c r="D11" s="1312"/>
      <c r="E11" s="1313"/>
    </row>
    <row r="12" spans="1:6" s="4" customFormat="1" ht="25.5" customHeight="1" x14ac:dyDescent="0.2">
      <c r="A12" s="897" t="s">
        <v>19</v>
      </c>
      <c r="B12" s="898" t="s">
        <v>179</v>
      </c>
      <c r="C12" s="899"/>
      <c r="D12" s="899"/>
      <c r="E12" s="900"/>
    </row>
    <row r="13" spans="1:6" s="4" customFormat="1" ht="12.75" customHeight="1" x14ac:dyDescent="0.2">
      <c r="A13" s="897"/>
      <c r="B13" s="308" t="s">
        <v>302</v>
      </c>
      <c r="C13" s="899">
        <f>C17+C21+C25+C29+C33+C37+C41</f>
        <v>11965081</v>
      </c>
      <c r="D13" s="899">
        <f>D17+D21+D25+D29+D33+D37+D41</f>
        <v>1000000</v>
      </c>
      <c r="E13" s="900">
        <f>SUM(C13:D13)</f>
        <v>12965081</v>
      </c>
    </row>
    <row r="14" spans="1:6" s="4" customFormat="1" ht="12.75" customHeight="1" x14ac:dyDescent="0.2">
      <c r="A14" s="897"/>
      <c r="B14" s="308" t="s">
        <v>303</v>
      </c>
      <c r="C14" s="899">
        <f t="shared" ref="C14:D15" si="0">C18+C22+C26+C30+C34+C38+C42</f>
        <v>12270089</v>
      </c>
      <c r="D14" s="899">
        <f t="shared" si="0"/>
        <v>1000000</v>
      </c>
      <c r="E14" s="900">
        <f t="shared" ref="E14:E15" si="1">SUM(C14:D14)</f>
        <v>13270089</v>
      </c>
    </row>
    <row r="15" spans="1:6" s="4" customFormat="1" ht="13.5" customHeight="1" x14ac:dyDescent="0.2">
      <c r="A15" s="897"/>
      <c r="B15" s="308" t="s">
        <v>304</v>
      </c>
      <c r="C15" s="899">
        <f t="shared" si="0"/>
        <v>12218138</v>
      </c>
      <c r="D15" s="899">
        <f t="shared" si="0"/>
        <v>0</v>
      </c>
      <c r="E15" s="900">
        <f t="shared" si="1"/>
        <v>12218138</v>
      </c>
    </row>
    <row r="16" spans="1:6" s="4" customFormat="1" ht="12.75" customHeight="1" x14ac:dyDescent="0.2">
      <c r="A16" s="1329" t="s">
        <v>2</v>
      </c>
      <c r="B16" s="831" t="s">
        <v>131</v>
      </c>
      <c r="C16" s="899"/>
      <c r="D16" s="899"/>
      <c r="E16" s="900"/>
    </row>
    <row r="17" spans="1:5" s="4" customFormat="1" ht="12.75" customHeight="1" x14ac:dyDescent="0.2">
      <c r="A17" s="1330"/>
      <c r="B17" s="308" t="s">
        <v>302</v>
      </c>
      <c r="C17" s="899">
        <v>0</v>
      </c>
      <c r="D17" s="899"/>
      <c r="E17" s="900">
        <f t="shared" ref="E17:E47" si="2">C17+D17</f>
        <v>0</v>
      </c>
    </row>
    <row r="18" spans="1:5" s="4" customFormat="1" ht="12.75" customHeight="1" x14ac:dyDescent="0.2">
      <c r="A18" s="1330"/>
      <c r="B18" s="308" t="s">
        <v>303</v>
      </c>
      <c r="C18" s="899">
        <v>0</v>
      </c>
      <c r="D18" s="899"/>
      <c r="E18" s="900">
        <f t="shared" si="2"/>
        <v>0</v>
      </c>
    </row>
    <row r="19" spans="1:5" s="4" customFormat="1" ht="12.75" customHeight="1" x14ac:dyDescent="0.2">
      <c r="A19" s="1331"/>
      <c r="B19" s="308" t="s">
        <v>304</v>
      </c>
      <c r="C19" s="899">
        <v>0</v>
      </c>
      <c r="D19" s="899"/>
      <c r="E19" s="900">
        <f t="shared" si="2"/>
        <v>0</v>
      </c>
    </row>
    <row r="20" spans="1:5" s="4" customFormat="1" ht="13.5" customHeight="1" x14ac:dyDescent="0.2">
      <c r="A20" s="1329" t="s">
        <v>3</v>
      </c>
      <c r="B20" s="902" t="s">
        <v>132</v>
      </c>
      <c r="C20" s="899"/>
      <c r="D20" s="899"/>
      <c r="E20" s="900"/>
    </row>
    <row r="21" spans="1:5" s="4" customFormat="1" ht="13.5" customHeight="1" x14ac:dyDescent="0.2">
      <c r="A21" s="1330"/>
      <c r="B21" s="308" t="s">
        <v>302</v>
      </c>
      <c r="C21" s="899">
        <f>'3 bevételek'!F405</f>
        <v>0</v>
      </c>
      <c r="D21" s="899">
        <v>0</v>
      </c>
      <c r="E21" s="900">
        <f t="shared" si="2"/>
        <v>0</v>
      </c>
    </row>
    <row r="22" spans="1:5" s="4" customFormat="1" ht="13.5" customHeight="1" x14ac:dyDescent="0.2">
      <c r="A22" s="1330"/>
      <c r="B22" s="308" t="s">
        <v>303</v>
      </c>
      <c r="C22" s="899">
        <f>'3 bevételek'!F406</f>
        <v>0</v>
      </c>
      <c r="D22" s="899">
        <v>0</v>
      </c>
      <c r="E22" s="900">
        <f t="shared" si="2"/>
        <v>0</v>
      </c>
    </row>
    <row r="23" spans="1:5" s="4" customFormat="1" ht="13.5" customHeight="1" x14ac:dyDescent="0.2">
      <c r="A23" s="1331"/>
      <c r="B23" s="308" t="s">
        <v>304</v>
      </c>
      <c r="C23" s="899">
        <f>'3 bevételek'!F407</f>
        <v>0</v>
      </c>
      <c r="D23" s="899">
        <f>'3 bevételek'!G407</f>
        <v>0</v>
      </c>
      <c r="E23" s="900">
        <f t="shared" si="2"/>
        <v>0</v>
      </c>
    </row>
    <row r="24" spans="1:5" s="4" customFormat="1" ht="13.5" customHeight="1" x14ac:dyDescent="0.2">
      <c r="A24" s="1329">
        <v>3</v>
      </c>
      <c r="B24" s="831" t="s">
        <v>53</v>
      </c>
      <c r="C24" s="899"/>
      <c r="D24" s="899"/>
      <c r="E24" s="900"/>
    </row>
    <row r="25" spans="1:5" s="4" customFormat="1" ht="13.5" customHeight="1" x14ac:dyDescent="0.2">
      <c r="A25" s="1330"/>
      <c r="B25" s="308" t="s">
        <v>302</v>
      </c>
      <c r="C25" s="899">
        <v>0</v>
      </c>
      <c r="D25" s="899">
        <v>0</v>
      </c>
      <c r="E25" s="900">
        <f t="shared" si="2"/>
        <v>0</v>
      </c>
    </row>
    <row r="26" spans="1:5" s="4" customFormat="1" ht="13.5" customHeight="1" x14ac:dyDescent="0.2">
      <c r="A26" s="1330"/>
      <c r="B26" s="308" t="s">
        <v>303</v>
      </c>
      <c r="C26" s="899">
        <v>0</v>
      </c>
      <c r="D26" s="899">
        <v>0</v>
      </c>
      <c r="E26" s="900">
        <f t="shared" si="2"/>
        <v>0</v>
      </c>
    </row>
    <row r="27" spans="1:5" s="4" customFormat="1" ht="13.5" customHeight="1" x14ac:dyDescent="0.2">
      <c r="A27" s="1331"/>
      <c r="B27" s="308" t="s">
        <v>304</v>
      </c>
      <c r="C27" s="899">
        <v>0</v>
      </c>
      <c r="D27" s="899">
        <v>0</v>
      </c>
      <c r="E27" s="900">
        <f t="shared" si="2"/>
        <v>0</v>
      </c>
    </row>
    <row r="28" spans="1:5" s="4" customFormat="1" ht="12" customHeight="1" x14ac:dyDescent="0.2">
      <c r="A28" s="1329" t="s">
        <v>5</v>
      </c>
      <c r="B28" s="831" t="s">
        <v>133</v>
      </c>
      <c r="C28" s="899"/>
      <c r="D28" s="899"/>
      <c r="E28" s="900"/>
    </row>
    <row r="29" spans="1:5" s="4" customFormat="1" ht="12" customHeight="1" x14ac:dyDescent="0.2">
      <c r="A29" s="1330"/>
      <c r="B29" s="308" t="s">
        <v>302</v>
      </c>
      <c r="C29" s="899">
        <f>'3 bevételek'!F9</f>
        <v>11965081</v>
      </c>
      <c r="D29" s="899"/>
      <c r="E29" s="900">
        <f t="shared" si="2"/>
        <v>11965081</v>
      </c>
    </row>
    <row r="30" spans="1:5" s="4" customFormat="1" ht="12" customHeight="1" x14ac:dyDescent="0.2">
      <c r="A30" s="1330"/>
      <c r="B30" s="308" t="s">
        <v>303</v>
      </c>
      <c r="C30" s="899">
        <f>'3 bevételek'!F10</f>
        <v>12270089</v>
      </c>
      <c r="D30" s="899"/>
      <c r="E30" s="900">
        <f t="shared" si="2"/>
        <v>12270089</v>
      </c>
    </row>
    <row r="31" spans="1:5" s="4" customFormat="1" ht="12" customHeight="1" x14ac:dyDescent="0.2">
      <c r="A31" s="1331"/>
      <c r="B31" s="308" t="s">
        <v>304</v>
      </c>
      <c r="C31" s="899">
        <f>'3 bevételek'!F11</f>
        <v>12218138</v>
      </c>
      <c r="D31" s="899"/>
      <c r="E31" s="900">
        <f t="shared" si="2"/>
        <v>12218138</v>
      </c>
    </row>
    <row r="32" spans="1:5" s="4" customFormat="1" ht="12.75" customHeight="1" x14ac:dyDescent="0.2">
      <c r="A32" s="1329" t="s">
        <v>6</v>
      </c>
      <c r="B32" s="831" t="s">
        <v>134</v>
      </c>
      <c r="C32" s="899"/>
      <c r="D32" s="899"/>
      <c r="E32" s="900"/>
    </row>
    <row r="33" spans="1:5" s="4" customFormat="1" ht="12.75" customHeight="1" x14ac:dyDescent="0.2">
      <c r="A33" s="1330"/>
      <c r="B33" s="308" t="s">
        <v>302</v>
      </c>
      <c r="C33" s="899">
        <f>'3 bevételek'!F405</f>
        <v>0</v>
      </c>
      <c r="D33" s="899">
        <f>'3 bevételek'!G405</f>
        <v>1000000</v>
      </c>
      <c r="E33" s="900">
        <f t="shared" si="2"/>
        <v>1000000</v>
      </c>
    </row>
    <row r="34" spans="1:5" s="4" customFormat="1" ht="12.75" customHeight="1" x14ac:dyDescent="0.2">
      <c r="A34" s="1330"/>
      <c r="B34" s="308" t="s">
        <v>303</v>
      </c>
      <c r="C34" s="899">
        <f>'3 bevételek'!F406</f>
        <v>0</v>
      </c>
      <c r="D34" s="899">
        <f>'3 bevételek'!G406</f>
        <v>1000000</v>
      </c>
      <c r="E34" s="900">
        <f t="shared" si="2"/>
        <v>1000000</v>
      </c>
    </row>
    <row r="35" spans="1:5" s="4" customFormat="1" ht="12.75" customHeight="1" x14ac:dyDescent="0.2">
      <c r="A35" s="1331"/>
      <c r="B35" s="308" t="s">
        <v>304</v>
      </c>
      <c r="C35" s="899">
        <f>'3 bevételek'!F407</f>
        <v>0</v>
      </c>
      <c r="D35" s="899">
        <f>'3 bevételek'!G407</f>
        <v>0</v>
      </c>
      <c r="E35" s="900">
        <f t="shared" si="2"/>
        <v>0</v>
      </c>
    </row>
    <row r="36" spans="1:5" s="4" customFormat="1" ht="12" customHeight="1" x14ac:dyDescent="0.2">
      <c r="A36" s="1329" t="s">
        <v>7</v>
      </c>
      <c r="B36" s="831" t="s">
        <v>130</v>
      </c>
      <c r="C36" s="899"/>
      <c r="D36" s="899"/>
      <c r="E36" s="900"/>
    </row>
    <row r="37" spans="1:5" s="4" customFormat="1" ht="12" customHeight="1" x14ac:dyDescent="0.2">
      <c r="A37" s="1330"/>
      <c r="B37" s="308" t="s">
        <v>302</v>
      </c>
      <c r="C37" s="899"/>
      <c r="D37" s="899"/>
      <c r="E37" s="900">
        <f t="shared" si="2"/>
        <v>0</v>
      </c>
    </row>
    <row r="38" spans="1:5" s="4" customFormat="1" ht="12" customHeight="1" x14ac:dyDescent="0.2">
      <c r="A38" s="1330"/>
      <c r="B38" s="308" t="s">
        <v>303</v>
      </c>
      <c r="C38" s="899"/>
      <c r="D38" s="899"/>
      <c r="E38" s="900">
        <f t="shared" si="2"/>
        <v>0</v>
      </c>
    </row>
    <row r="39" spans="1:5" s="4" customFormat="1" ht="12" customHeight="1" x14ac:dyDescent="0.2">
      <c r="A39" s="1331"/>
      <c r="B39" s="308" t="s">
        <v>304</v>
      </c>
      <c r="C39" s="899"/>
      <c r="D39" s="899"/>
      <c r="E39" s="900">
        <f t="shared" si="2"/>
        <v>0</v>
      </c>
    </row>
    <row r="40" spans="1:5" s="4" customFormat="1" ht="12" customHeight="1" x14ac:dyDescent="0.2">
      <c r="A40" s="1329" t="s">
        <v>8</v>
      </c>
      <c r="B40" s="831" t="s">
        <v>129</v>
      </c>
      <c r="C40" s="899">
        <v>0</v>
      </c>
      <c r="D40" s="899">
        <v>0</v>
      </c>
      <c r="E40" s="900">
        <f t="shared" si="2"/>
        <v>0</v>
      </c>
    </row>
    <row r="41" spans="1:5" s="4" customFormat="1" ht="12" customHeight="1" x14ac:dyDescent="0.2">
      <c r="A41" s="1330"/>
      <c r="B41" s="308" t="s">
        <v>302</v>
      </c>
      <c r="C41" s="899"/>
      <c r="D41" s="899"/>
      <c r="E41" s="900">
        <f t="shared" si="2"/>
        <v>0</v>
      </c>
    </row>
    <row r="42" spans="1:5" s="4" customFormat="1" ht="12" customHeight="1" x14ac:dyDescent="0.2">
      <c r="A42" s="1330"/>
      <c r="B42" s="308" t="s">
        <v>303</v>
      </c>
      <c r="C42" s="899"/>
      <c r="D42" s="899"/>
      <c r="E42" s="900">
        <f t="shared" si="2"/>
        <v>0</v>
      </c>
    </row>
    <row r="43" spans="1:5" s="4" customFormat="1" ht="12" customHeight="1" thickBot="1" x14ac:dyDescent="0.25">
      <c r="A43" s="1330"/>
      <c r="B43" s="415" t="s">
        <v>304</v>
      </c>
      <c r="C43" s="922"/>
      <c r="D43" s="922"/>
      <c r="E43" s="923">
        <f t="shared" si="2"/>
        <v>0</v>
      </c>
    </row>
    <row r="44" spans="1:5" s="4" customFormat="1" ht="12" customHeight="1" x14ac:dyDescent="0.2">
      <c r="A44" s="1337"/>
      <c r="B44" s="928" t="s">
        <v>252</v>
      </c>
      <c r="C44" s="929"/>
      <c r="D44" s="929"/>
      <c r="E44" s="930">
        <f t="shared" si="2"/>
        <v>0</v>
      </c>
    </row>
    <row r="45" spans="1:5" s="4" customFormat="1" ht="12" customHeight="1" x14ac:dyDescent="0.2">
      <c r="A45" s="1338"/>
      <c r="B45" s="921" t="s">
        <v>302</v>
      </c>
      <c r="C45" s="920">
        <f>C17+C21+C25+C29+C33+C37+C40</f>
        <v>11965081</v>
      </c>
      <c r="D45" s="920">
        <f>D17+D21+D25+D29+D33+D37+D40</f>
        <v>1000000</v>
      </c>
      <c r="E45" s="931">
        <f t="shared" si="2"/>
        <v>12965081</v>
      </c>
    </row>
    <row r="46" spans="1:5" s="4" customFormat="1" ht="12" customHeight="1" x14ac:dyDescent="0.2">
      <c r="A46" s="1338"/>
      <c r="B46" s="921" t="s">
        <v>303</v>
      </c>
      <c r="C46" s="920">
        <f t="shared" ref="C46:D47" si="3">C18+C22+C26+C30+C34+C38+C41</f>
        <v>12270089</v>
      </c>
      <c r="D46" s="920">
        <f t="shared" si="3"/>
        <v>1000000</v>
      </c>
      <c r="E46" s="931">
        <f t="shared" si="2"/>
        <v>13270089</v>
      </c>
    </row>
    <row r="47" spans="1:5" s="4" customFormat="1" ht="12" customHeight="1" thickBot="1" x14ac:dyDescent="0.25">
      <c r="A47" s="1339"/>
      <c r="B47" s="932" t="s">
        <v>304</v>
      </c>
      <c r="C47" s="933">
        <f t="shared" si="3"/>
        <v>12218138</v>
      </c>
      <c r="D47" s="933">
        <f t="shared" si="3"/>
        <v>0</v>
      </c>
      <c r="E47" s="934">
        <f t="shared" si="2"/>
        <v>12218138</v>
      </c>
    </row>
    <row r="48" spans="1:5" s="4" customFormat="1" ht="27.75" customHeight="1" x14ac:dyDescent="0.2">
      <c r="A48" s="924" t="s">
        <v>20</v>
      </c>
      <c r="B48" s="925" t="s">
        <v>246</v>
      </c>
      <c r="C48" s="926"/>
      <c r="D48" s="926"/>
      <c r="E48" s="927"/>
    </row>
    <row r="49" spans="1:6" s="4" customFormat="1" ht="15.75" customHeight="1" x14ac:dyDescent="0.2">
      <c r="A49" s="897"/>
      <c r="B49" s="308" t="s">
        <v>302</v>
      </c>
      <c r="C49" s="904">
        <f>C53+C57+C61+C65+C69+C73+C77</f>
        <v>274619190</v>
      </c>
      <c r="D49" s="904">
        <f>D53+D57+D61+D65+D69+D73+D77</f>
        <v>32558369</v>
      </c>
      <c r="E49" s="899">
        <f>SUM(C49:D49)</f>
        <v>307177559</v>
      </c>
    </row>
    <row r="50" spans="1:6" s="4" customFormat="1" ht="17.25" customHeight="1" x14ac:dyDescent="0.2">
      <c r="A50" s="897"/>
      <c r="B50" s="308" t="s">
        <v>303</v>
      </c>
      <c r="C50" s="904">
        <f t="shared" ref="C50:D51" si="4">C54+C58+C62+C66+C70+C74+C78</f>
        <v>276853977</v>
      </c>
      <c r="D50" s="904">
        <f t="shared" si="4"/>
        <v>254737354</v>
      </c>
      <c r="E50" s="899">
        <f t="shared" ref="E50:E79" si="5">SUM(C50:D50)</f>
        <v>531591331</v>
      </c>
    </row>
    <row r="51" spans="1:6" s="4" customFormat="1" ht="13.5" customHeight="1" x14ac:dyDescent="0.2">
      <c r="A51" s="897"/>
      <c r="B51" s="308" t="s">
        <v>304</v>
      </c>
      <c r="C51" s="904">
        <f t="shared" si="4"/>
        <v>294027530</v>
      </c>
      <c r="D51" s="904">
        <f t="shared" si="4"/>
        <v>220049328</v>
      </c>
      <c r="E51" s="899">
        <f t="shared" si="5"/>
        <v>514076858</v>
      </c>
    </row>
    <row r="52" spans="1:6" s="5" customFormat="1" ht="12" customHeight="1" x14ac:dyDescent="0.2">
      <c r="A52" s="901" t="s">
        <v>2</v>
      </c>
      <c r="B52" s="831" t="s">
        <v>131</v>
      </c>
      <c r="C52" s="905"/>
      <c r="D52" s="906"/>
      <c r="E52" s="899"/>
    </row>
    <row r="53" spans="1:6" s="5" customFormat="1" ht="12" customHeight="1" x14ac:dyDescent="0.2">
      <c r="A53" s="901"/>
      <c r="B53" s="308" t="s">
        <v>302</v>
      </c>
      <c r="C53" s="905">
        <f>'3 bevételek'!F538</f>
        <v>239877848</v>
      </c>
      <c r="D53" s="906"/>
      <c r="E53" s="899">
        <f t="shared" si="5"/>
        <v>239877848</v>
      </c>
    </row>
    <row r="54" spans="1:6" s="5" customFormat="1" ht="12" customHeight="1" x14ac:dyDescent="0.2">
      <c r="A54" s="901"/>
      <c r="B54" s="308" t="s">
        <v>303</v>
      </c>
      <c r="C54" s="905">
        <f>'3 bevételek'!F539</f>
        <v>236416340</v>
      </c>
      <c r="D54" s="906"/>
      <c r="E54" s="899">
        <f t="shared" si="5"/>
        <v>236416340</v>
      </c>
    </row>
    <row r="55" spans="1:6" s="5" customFormat="1" ht="12" customHeight="1" x14ac:dyDescent="0.2">
      <c r="A55" s="901"/>
      <c r="B55" s="308" t="s">
        <v>304</v>
      </c>
      <c r="C55" s="905">
        <f>'3 bevételek'!F540</f>
        <v>251339024</v>
      </c>
      <c r="D55" s="906"/>
      <c r="E55" s="899">
        <f t="shared" si="5"/>
        <v>251339024</v>
      </c>
    </row>
    <row r="56" spans="1:6" s="5" customFormat="1" ht="12" customHeight="1" x14ac:dyDescent="0.2">
      <c r="A56" s="901" t="s">
        <v>3</v>
      </c>
      <c r="B56" s="902" t="s">
        <v>132</v>
      </c>
      <c r="C56" s="906"/>
      <c r="D56" s="905"/>
      <c r="E56" s="899"/>
      <c r="F56" s="34"/>
    </row>
    <row r="57" spans="1:6" s="5" customFormat="1" ht="12" customHeight="1" x14ac:dyDescent="0.2">
      <c r="A57" s="901"/>
      <c r="B57" s="308" t="s">
        <v>302</v>
      </c>
      <c r="C57" s="906"/>
      <c r="D57" s="905">
        <f>'3 bevételek'!G610</f>
        <v>0</v>
      </c>
      <c r="E57" s="899">
        <f t="shared" si="5"/>
        <v>0</v>
      </c>
      <c r="F57" s="34"/>
    </row>
    <row r="58" spans="1:6" s="5" customFormat="1" ht="12" customHeight="1" x14ac:dyDescent="0.2">
      <c r="A58" s="901"/>
      <c r="B58" s="308" t="s">
        <v>303</v>
      </c>
      <c r="C58" s="906"/>
      <c r="D58" s="905">
        <f>'3 bevételek'!G611</f>
        <v>219339067</v>
      </c>
      <c r="E58" s="899">
        <f t="shared" si="5"/>
        <v>219339067</v>
      </c>
      <c r="F58" s="34"/>
    </row>
    <row r="59" spans="1:6" s="5" customFormat="1" ht="12" customHeight="1" x14ac:dyDescent="0.2">
      <c r="A59" s="901"/>
      <c r="B59" s="308" t="s">
        <v>304</v>
      </c>
      <c r="C59" s="906"/>
      <c r="D59" s="905">
        <f>'3 bevételek'!G612</f>
        <v>219866957</v>
      </c>
      <c r="E59" s="899">
        <f t="shared" si="5"/>
        <v>219866957</v>
      </c>
      <c r="F59" s="34"/>
    </row>
    <row r="60" spans="1:6" s="5" customFormat="1" ht="12" customHeight="1" x14ac:dyDescent="0.2">
      <c r="A60" s="901" t="s">
        <v>4</v>
      </c>
      <c r="B60" s="831" t="s">
        <v>53</v>
      </c>
      <c r="C60" s="905"/>
      <c r="D60" s="905"/>
      <c r="E60" s="899"/>
    </row>
    <row r="61" spans="1:6" s="5" customFormat="1" ht="12" customHeight="1" x14ac:dyDescent="0.2">
      <c r="A61" s="901"/>
      <c r="B61" s="308" t="s">
        <v>302</v>
      </c>
      <c r="C61" s="905">
        <f>'3 bevételek'!F643</f>
        <v>24306642</v>
      </c>
      <c r="D61" s="905">
        <f>'3 bevételek'!G643</f>
        <v>3693358</v>
      </c>
      <c r="E61" s="899">
        <f t="shared" si="5"/>
        <v>28000000</v>
      </c>
    </row>
    <row r="62" spans="1:6" s="5" customFormat="1" ht="12" customHeight="1" x14ac:dyDescent="0.2">
      <c r="A62" s="901"/>
      <c r="B62" s="308" t="s">
        <v>303</v>
      </c>
      <c r="C62" s="905">
        <f>'3 bevételek'!F644</f>
        <v>29306642</v>
      </c>
      <c r="D62" s="905">
        <f>'3 bevételek'!G644</f>
        <v>6533276</v>
      </c>
      <c r="E62" s="899">
        <f t="shared" si="5"/>
        <v>35839918</v>
      </c>
    </row>
    <row r="63" spans="1:6" s="5" customFormat="1" ht="12" customHeight="1" x14ac:dyDescent="0.2">
      <c r="A63" s="901"/>
      <c r="B63" s="308" t="s">
        <v>304</v>
      </c>
      <c r="C63" s="905">
        <f>'3 bevételek'!F645</f>
        <v>29576949</v>
      </c>
      <c r="D63" s="905">
        <f>'3 bevételek'!G645</f>
        <v>0</v>
      </c>
      <c r="E63" s="899">
        <f t="shared" si="5"/>
        <v>29576949</v>
      </c>
    </row>
    <row r="64" spans="1:6" s="5" customFormat="1" ht="12" customHeight="1" x14ac:dyDescent="0.2">
      <c r="A64" s="901" t="s">
        <v>5</v>
      </c>
      <c r="B64" s="831" t="s">
        <v>133</v>
      </c>
      <c r="C64" s="905"/>
      <c r="D64" s="906"/>
      <c r="E64" s="899"/>
      <c r="F64" s="34"/>
    </row>
    <row r="65" spans="1:7" s="5" customFormat="1" ht="12" customHeight="1" x14ac:dyDescent="0.2">
      <c r="A65" s="901"/>
      <c r="B65" s="308" t="s">
        <v>302</v>
      </c>
      <c r="C65" s="905">
        <f>'3 bevételek'!F675</f>
        <v>8712200</v>
      </c>
      <c r="D65" s="906"/>
      <c r="E65" s="899">
        <f t="shared" si="5"/>
        <v>8712200</v>
      </c>
      <c r="F65" s="34"/>
    </row>
    <row r="66" spans="1:7" s="5" customFormat="1" ht="12" customHeight="1" x14ac:dyDescent="0.2">
      <c r="A66" s="901"/>
      <c r="B66" s="308" t="s">
        <v>303</v>
      </c>
      <c r="C66" s="905">
        <f>'3 bevételek'!F676</f>
        <v>9408495</v>
      </c>
      <c r="D66" s="906"/>
      <c r="E66" s="899">
        <f t="shared" si="5"/>
        <v>9408495</v>
      </c>
      <c r="F66" s="34"/>
    </row>
    <row r="67" spans="1:7" s="5" customFormat="1" ht="12" customHeight="1" x14ac:dyDescent="0.2">
      <c r="A67" s="901"/>
      <c r="B67" s="308" t="s">
        <v>304</v>
      </c>
      <c r="C67" s="905">
        <f>'3 bevételek'!F677</f>
        <v>12961557</v>
      </c>
      <c r="D67" s="906"/>
      <c r="E67" s="899">
        <f t="shared" si="5"/>
        <v>12961557</v>
      </c>
      <c r="F67" s="34"/>
    </row>
    <row r="68" spans="1:7" s="5" customFormat="1" ht="12" customHeight="1" x14ac:dyDescent="0.2">
      <c r="A68" s="901" t="s">
        <v>6</v>
      </c>
      <c r="B68" s="831" t="s">
        <v>134</v>
      </c>
      <c r="C68" s="906"/>
      <c r="D68" s="905"/>
      <c r="E68" s="899"/>
    </row>
    <row r="69" spans="1:7" s="5" customFormat="1" ht="12" customHeight="1" x14ac:dyDescent="0.2">
      <c r="A69" s="901"/>
      <c r="B69" s="308" t="s">
        <v>302</v>
      </c>
      <c r="C69" s="906"/>
      <c r="D69" s="905">
        <f>'3 bevételek'!G746</f>
        <v>200000</v>
      </c>
      <c r="E69" s="899">
        <f t="shared" si="5"/>
        <v>200000</v>
      </c>
    </row>
    <row r="70" spans="1:7" s="5" customFormat="1" ht="12" customHeight="1" x14ac:dyDescent="0.2">
      <c r="A70" s="901"/>
      <c r="B70" s="308" t="s">
        <v>303</v>
      </c>
      <c r="C70" s="906"/>
      <c r="D70" s="905">
        <f>'3 bevételek'!G747</f>
        <v>200000</v>
      </c>
      <c r="E70" s="899">
        <f t="shared" si="5"/>
        <v>200000</v>
      </c>
    </row>
    <row r="71" spans="1:7" s="5" customFormat="1" ht="12" customHeight="1" x14ac:dyDescent="0.2">
      <c r="A71" s="901"/>
      <c r="B71" s="308" t="s">
        <v>304</v>
      </c>
      <c r="C71" s="906"/>
      <c r="D71" s="905">
        <f>'3 bevételek'!G748</f>
        <v>182371</v>
      </c>
      <c r="E71" s="899">
        <f t="shared" si="5"/>
        <v>182371</v>
      </c>
    </row>
    <row r="72" spans="1:7" s="5" customFormat="1" ht="12" customHeight="1" x14ac:dyDescent="0.2">
      <c r="A72" s="901" t="s">
        <v>7</v>
      </c>
      <c r="B72" s="831" t="s">
        <v>130</v>
      </c>
      <c r="C72" s="905"/>
      <c r="D72" s="906"/>
      <c r="E72" s="899"/>
    </row>
    <row r="73" spans="1:7" s="5" customFormat="1" ht="12" customHeight="1" x14ac:dyDescent="0.2">
      <c r="A73" s="901"/>
      <c r="B73" s="308" t="s">
        <v>302</v>
      </c>
      <c r="C73" s="905">
        <f>'3 bevételek'!F758</f>
        <v>1722500</v>
      </c>
      <c r="D73" s="906"/>
      <c r="E73" s="899">
        <f t="shared" si="5"/>
        <v>1722500</v>
      </c>
    </row>
    <row r="74" spans="1:7" s="5" customFormat="1" ht="12" customHeight="1" x14ac:dyDescent="0.2">
      <c r="A74" s="901"/>
      <c r="B74" s="308" t="s">
        <v>303</v>
      </c>
      <c r="C74" s="905">
        <f>'3 bevételek'!F759</f>
        <v>1722500</v>
      </c>
      <c r="D74" s="906"/>
      <c r="E74" s="899">
        <f t="shared" si="5"/>
        <v>1722500</v>
      </c>
    </row>
    <row r="75" spans="1:7" s="5" customFormat="1" ht="12" customHeight="1" x14ac:dyDescent="0.2">
      <c r="A75" s="901"/>
      <c r="B75" s="308" t="s">
        <v>304</v>
      </c>
      <c r="C75" s="905">
        <f>'3 bevételek'!F760</f>
        <v>150000</v>
      </c>
      <c r="D75" s="906"/>
      <c r="E75" s="899">
        <f t="shared" si="5"/>
        <v>150000</v>
      </c>
    </row>
    <row r="76" spans="1:7" s="5" customFormat="1" ht="12" customHeight="1" x14ac:dyDescent="0.2">
      <c r="A76" s="901" t="s">
        <v>8</v>
      </c>
      <c r="B76" s="831" t="s">
        <v>129</v>
      </c>
      <c r="C76" s="906"/>
      <c r="D76" s="905"/>
      <c r="E76" s="899"/>
    </row>
    <row r="77" spans="1:7" s="5" customFormat="1" ht="12" customHeight="1" x14ac:dyDescent="0.2">
      <c r="A77" s="901"/>
      <c r="B77" s="308" t="s">
        <v>302</v>
      </c>
      <c r="C77" s="906"/>
      <c r="D77" s="905">
        <f>'3 bevételek'!G763</f>
        <v>28665011</v>
      </c>
      <c r="E77" s="899">
        <f t="shared" si="5"/>
        <v>28665011</v>
      </c>
    </row>
    <row r="78" spans="1:7" s="5" customFormat="1" ht="12" customHeight="1" x14ac:dyDescent="0.2">
      <c r="A78" s="901"/>
      <c r="B78" s="308" t="s">
        <v>303</v>
      </c>
      <c r="C78" s="906"/>
      <c r="D78" s="905">
        <f>'3 bevételek'!G764</f>
        <v>28665011</v>
      </c>
      <c r="E78" s="899">
        <f t="shared" si="5"/>
        <v>28665011</v>
      </c>
    </row>
    <row r="79" spans="1:7" s="5" customFormat="1" ht="12" customHeight="1" thickBot="1" x14ac:dyDescent="0.25">
      <c r="A79" s="936"/>
      <c r="B79" s="415" t="s">
        <v>304</v>
      </c>
      <c r="C79" s="937"/>
      <c r="D79" s="905">
        <f>'3 bevételek'!G765</f>
        <v>0</v>
      </c>
      <c r="E79" s="899">
        <f t="shared" si="5"/>
        <v>0</v>
      </c>
    </row>
    <row r="80" spans="1:7" s="6" customFormat="1" ht="14.25" customHeight="1" x14ac:dyDescent="0.2">
      <c r="A80" s="1332" t="s">
        <v>251</v>
      </c>
      <c r="B80" s="1333"/>
      <c r="C80" s="939"/>
      <c r="D80" s="939"/>
      <c r="E80" s="940"/>
      <c r="G80" s="67"/>
    </row>
    <row r="81" spans="1:8" s="6" customFormat="1" ht="14.25" customHeight="1" x14ac:dyDescent="0.2">
      <c r="A81" s="941"/>
      <c r="B81" s="921" t="s">
        <v>302</v>
      </c>
      <c r="C81" s="935">
        <f>C53+C57+C61+C65+C69+C73+C77</f>
        <v>274619190</v>
      </c>
      <c r="D81" s="935">
        <f>D53+D57+D61+D65+D69+D73+D77</f>
        <v>32558369</v>
      </c>
      <c r="E81" s="942">
        <f>SUM(C81:D81)</f>
        <v>307177559</v>
      </c>
      <c r="G81" s="67"/>
    </row>
    <row r="82" spans="1:8" s="6" customFormat="1" ht="14.25" customHeight="1" x14ac:dyDescent="0.2">
      <c r="A82" s="941"/>
      <c r="B82" s="921" t="s">
        <v>303</v>
      </c>
      <c r="C82" s="935">
        <f t="shared" ref="C82:D83" si="6">C54+C58+C62+C66+C70+C74+C78</f>
        <v>276853977</v>
      </c>
      <c r="D82" s="935">
        <f t="shared" si="6"/>
        <v>254737354</v>
      </c>
      <c r="E82" s="942">
        <f t="shared" ref="E82:E83" si="7">SUM(C82:D82)</f>
        <v>531591331</v>
      </c>
      <c r="G82" s="67"/>
    </row>
    <row r="83" spans="1:8" s="6" customFormat="1" ht="14.25" customHeight="1" thickBot="1" x14ac:dyDescent="0.25">
      <c r="A83" s="943"/>
      <c r="B83" s="932" t="s">
        <v>304</v>
      </c>
      <c r="C83" s="935">
        <f>C55+C59+C63+C67+C71+C75+C79</f>
        <v>294027530</v>
      </c>
      <c r="D83" s="935">
        <f t="shared" si="6"/>
        <v>220049328</v>
      </c>
      <c r="E83" s="942">
        <f t="shared" si="7"/>
        <v>514076858</v>
      </c>
      <c r="G83" s="67"/>
    </row>
    <row r="84" spans="1:8" s="7" customFormat="1" ht="15" customHeight="1" x14ac:dyDescent="0.2">
      <c r="A84" s="1334" t="s">
        <v>178</v>
      </c>
      <c r="B84" s="1335"/>
      <c r="C84" s="944"/>
      <c r="D84" s="944"/>
      <c r="E84" s="945"/>
    </row>
    <row r="85" spans="1:8" s="7" customFormat="1" ht="15" customHeight="1" x14ac:dyDescent="0.2">
      <c r="A85" s="946"/>
      <c r="B85" s="947" t="s">
        <v>302</v>
      </c>
      <c r="C85" s="948">
        <f>C81+C45</f>
        <v>286584271</v>
      </c>
      <c r="D85" s="948">
        <f>D81+D45</f>
        <v>33558369</v>
      </c>
      <c r="E85" s="949">
        <f>SUM(C85:D85)</f>
        <v>320142640</v>
      </c>
    </row>
    <row r="86" spans="1:8" s="7" customFormat="1" ht="15" customHeight="1" x14ac:dyDescent="0.2">
      <c r="A86" s="946"/>
      <c r="B86" s="947" t="s">
        <v>303</v>
      </c>
      <c r="C86" s="948">
        <f t="shared" ref="C86:D87" si="8">C82+C46</f>
        <v>289124066</v>
      </c>
      <c r="D86" s="948">
        <f t="shared" si="8"/>
        <v>255737354</v>
      </c>
      <c r="E86" s="949">
        <f t="shared" ref="E86:E87" si="9">SUM(C86:D86)</f>
        <v>544861420</v>
      </c>
    </row>
    <row r="87" spans="1:8" s="7" customFormat="1" ht="15" customHeight="1" thickBot="1" x14ac:dyDescent="0.25">
      <c r="A87" s="950"/>
      <c r="B87" s="951" t="s">
        <v>304</v>
      </c>
      <c r="C87" s="952">
        <f>C83+C47</f>
        <v>306245668</v>
      </c>
      <c r="D87" s="952">
        <f t="shared" si="8"/>
        <v>220049328</v>
      </c>
      <c r="E87" s="953">
        <f t="shared" si="9"/>
        <v>526294996</v>
      </c>
    </row>
    <row r="88" spans="1:8" s="7" customFormat="1" ht="30.75" customHeight="1" x14ac:dyDescent="0.2">
      <c r="A88" s="1336" t="s">
        <v>181</v>
      </c>
      <c r="B88" s="1336"/>
      <c r="C88" s="938"/>
      <c r="D88" s="938"/>
      <c r="E88" s="938"/>
      <c r="G88" s="33"/>
      <c r="H88" s="33"/>
    </row>
    <row r="89" spans="1:8" s="7" customFormat="1" ht="16.5" customHeight="1" x14ac:dyDescent="0.2">
      <c r="A89" s="908"/>
      <c r="B89" s="308" t="s">
        <v>302</v>
      </c>
      <c r="C89" s="900">
        <f>C85-C176</f>
        <v>-27700000</v>
      </c>
      <c r="D89" s="900">
        <f>D85-D176</f>
        <v>-12100000</v>
      </c>
      <c r="E89" s="900">
        <f>SUM(C89:D89)</f>
        <v>-39800000</v>
      </c>
      <c r="G89" s="33"/>
      <c r="H89" s="33"/>
    </row>
    <row r="90" spans="1:8" s="7" customFormat="1" ht="12.75" customHeight="1" x14ac:dyDescent="0.2">
      <c r="A90" s="908"/>
      <c r="B90" s="308" t="s">
        <v>303</v>
      </c>
      <c r="C90" s="900">
        <f t="shared" ref="C90:D91" si="10">C86-C177</f>
        <v>-138194526.10000002</v>
      </c>
      <c r="D90" s="900">
        <f t="shared" si="10"/>
        <v>13348148.420000017</v>
      </c>
      <c r="E90" s="900">
        <f t="shared" ref="E90:E116" si="11">SUM(C90:D90)</f>
        <v>-124846377.68000001</v>
      </c>
      <c r="G90" s="33"/>
      <c r="H90" s="33"/>
    </row>
    <row r="91" spans="1:8" s="7" customFormat="1" ht="11.25" customHeight="1" x14ac:dyDescent="0.2">
      <c r="A91" s="908"/>
      <c r="B91" s="308" t="s">
        <v>304</v>
      </c>
      <c r="C91" s="900">
        <f t="shared" si="10"/>
        <v>-98609732.399999976</v>
      </c>
      <c r="D91" s="900">
        <f t="shared" si="10"/>
        <v>170947051</v>
      </c>
      <c r="E91" s="900">
        <f t="shared" si="11"/>
        <v>72337318.600000024</v>
      </c>
      <c r="G91" s="33"/>
      <c r="H91" s="33"/>
    </row>
    <row r="92" spans="1:8" s="7" customFormat="1" ht="21" customHeight="1" x14ac:dyDescent="0.2">
      <c r="A92" s="1086" t="s">
        <v>24</v>
      </c>
      <c r="B92" s="1087" t="s">
        <v>248</v>
      </c>
      <c r="C92" s="1013"/>
      <c r="D92" s="1013"/>
      <c r="E92" s="1013"/>
      <c r="G92" s="33"/>
      <c r="H92" s="33"/>
    </row>
    <row r="93" spans="1:8" s="7" customFormat="1" ht="13.5" customHeight="1" x14ac:dyDescent="0.2">
      <c r="A93" s="1088"/>
      <c r="B93" s="790" t="s">
        <v>302</v>
      </c>
      <c r="C93" s="1013">
        <f>C102+C98</f>
        <v>27700000</v>
      </c>
      <c r="D93" s="1013">
        <f>D102+D98</f>
        <v>12100000</v>
      </c>
      <c r="E93" s="1013">
        <f t="shared" si="11"/>
        <v>39800000</v>
      </c>
      <c r="G93" s="33"/>
      <c r="H93" s="33"/>
    </row>
    <row r="94" spans="1:8" s="7" customFormat="1" ht="14.25" customHeight="1" x14ac:dyDescent="0.2">
      <c r="A94" s="1088"/>
      <c r="B94" s="790" t="s">
        <v>303</v>
      </c>
      <c r="C94" s="1013">
        <f t="shared" ref="C94:C95" si="12">C103+C99</f>
        <v>109265151</v>
      </c>
      <c r="D94" s="1013">
        <f>D103+D99</f>
        <v>15581217</v>
      </c>
      <c r="E94" s="1013">
        <f t="shared" si="11"/>
        <v>124846368</v>
      </c>
      <c r="G94" s="33"/>
      <c r="H94" s="33"/>
    </row>
    <row r="95" spans="1:8" s="7" customFormat="1" ht="10.5" customHeight="1" x14ac:dyDescent="0.2">
      <c r="A95" s="1088"/>
      <c r="B95" s="790" t="s">
        <v>304</v>
      </c>
      <c r="C95" s="1013">
        <f t="shared" si="12"/>
        <v>108076042</v>
      </c>
      <c r="D95" s="1013">
        <f>D104+D100</f>
        <v>15581217</v>
      </c>
      <c r="E95" s="1013">
        <f t="shared" si="11"/>
        <v>123657259</v>
      </c>
      <c r="G95" s="33"/>
      <c r="H95" s="33"/>
    </row>
    <row r="96" spans="1:8" s="7" customFormat="1" ht="27" customHeight="1" x14ac:dyDescent="0.2">
      <c r="A96" s="1085"/>
      <c r="B96" s="898" t="s">
        <v>179</v>
      </c>
      <c r="C96" s="900"/>
      <c r="D96" s="900"/>
      <c r="E96" s="900"/>
      <c r="G96" s="33"/>
      <c r="H96" s="33"/>
    </row>
    <row r="97" spans="1:9" s="7" customFormat="1" ht="24.75" customHeight="1" x14ac:dyDescent="0.2">
      <c r="A97" s="908"/>
      <c r="B97" s="898" t="s">
        <v>194</v>
      </c>
      <c r="C97" s="900"/>
      <c r="D97" s="900"/>
      <c r="E97" s="900"/>
      <c r="G97" s="33"/>
      <c r="H97" s="33"/>
    </row>
    <row r="98" spans="1:9" s="7" customFormat="1" ht="12.75" customHeight="1" x14ac:dyDescent="0.2">
      <c r="A98" s="908"/>
      <c r="B98" s="308" t="s">
        <v>302</v>
      </c>
      <c r="C98" s="900">
        <v>0</v>
      </c>
      <c r="D98" s="900"/>
      <c r="E98" s="900">
        <f t="shared" si="11"/>
        <v>0</v>
      </c>
      <c r="G98" s="33"/>
      <c r="H98" s="33"/>
    </row>
    <row r="99" spans="1:9" s="7" customFormat="1" ht="16.5" customHeight="1" x14ac:dyDescent="0.2">
      <c r="A99" s="908"/>
      <c r="B99" s="308" t="s">
        <v>303</v>
      </c>
      <c r="C99" s="900">
        <v>80622</v>
      </c>
      <c r="D99" s="900"/>
      <c r="E99" s="900">
        <f t="shared" si="11"/>
        <v>80622</v>
      </c>
      <c r="G99" s="33"/>
      <c r="H99" s="33"/>
    </row>
    <row r="100" spans="1:9" s="7" customFormat="1" ht="10.5" customHeight="1" x14ac:dyDescent="0.2">
      <c r="A100" s="908"/>
      <c r="B100" s="308" t="s">
        <v>304</v>
      </c>
      <c r="C100" s="900">
        <v>80622</v>
      </c>
      <c r="D100" s="900"/>
      <c r="E100" s="900">
        <f t="shared" si="11"/>
        <v>80622</v>
      </c>
      <c r="G100" s="33"/>
      <c r="H100" s="33"/>
    </row>
    <row r="101" spans="1:9" s="7" customFormat="1" ht="18.75" customHeight="1" x14ac:dyDescent="0.2">
      <c r="A101" s="1326"/>
      <c r="B101" s="909" t="s">
        <v>247</v>
      </c>
      <c r="C101" s="900"/>
      <c r="D101" s="900"/>
      <c r="E101" s="900"/>
      <c r="G101" s="33"/>
    </row>
    <row r="102" spans="1:9" s="7" customFormat="1" ht="12.75" customHeight="1" x14ac:dyDescent="0.2">
      <c r="A102" s="1327"/>
      <c r="B102" s="308" t="s">
        <v>302</v>
      </c>
      <c r="C102" s="900">
        <f>C106+C110+C114</f>
        <v>27700000</v>
      </c>
      <c r="D102" s="900">
        <f>D106+D110+D114</f>
        <v>12100000</v>
      </c>
      <c r="E102" s="900">
        <f t="shared" si="11"/>
        <v>39800000</v>
      </c>
      <c r="G102" s="33"/>
    </row>
    <row r="103" spans="1:9" s="7" customFormat="1" ht="10.5" customHeight="1" x14ac:dyDescent="0.2">
      <c r="A103" s="1327"/>
      <c r="B103" s="308" t="s">
        <v>303</v>
      </c>
      <c r="C103" s="900">
        <f t="shared" ref="C103:D104" si="13">C107+C111+C115</f>
        <v>109184529</v>
      </c>
      <c r="D103" s="900">
        <f t="shared" si="13"/>
        <v>15581217</v>
      </c>
      <c r="E103" s="900">
        <f t="shared" si="11"/>
        <v>124765746</v>
      </c>
      <c r="G103" s="33"/>
    </row>
    <row r="104" spans="1:9" s="7" customFormat="1" ht="9.75" customHeight="1" x14ac:dyDescent="0.2">
      <c r="A104" s="1328"/>
      <c r="B104" s="308" t="s">
        <v>304</v>
      </c>
      <c r="C104" s="900">
        <f t="shared" si="13"/>
        <v>107995420</v>
      </c>
      <c r="D104" s="900">
        <f t="shared" si="13"/>
        <v>15581217</v>
      </c>
      <c r="E104" s="900">
        <f>SUM(C104:D104)</f>
        <v>123576637</v>
      </c>
      <c r="G104" s="33"/>
    </row>
    <row r="105" spans="1:9" s="7" customFormat="1" ht="38.25" customHeight="1" x14ac:dyDescent="0.2">
      <c r="A105" s="910" t="s">
        <v>2</v>
      </c>
      <c r="B105" s="898" t="s">
        <v>194</v>
      </c>
      <c r="C105" s="900"/>
      <c r="D105" s="911"/>
      <c r="E105" s="900"/>
      <c r="F105" s="89"/>
      <c r="G105" s="90"/>
      <c r="H105" s="90"/>
      <c r="I105" s="90"/>
    </row>
    <row r="106" spans="1:9" s="7" customFormat="1" ht="15" customHeight="1" x14ac:dyDescent="0.2">
      <c r="A106" s="910"/>
      <c r="B106" s="308" t="s">
        <v>302</v>
      </c>
      <c r="C106" s="900">
        <f>'3 bevételek'!F771</f>
        <v>25000000</v>
      </c>
      <c r="D106" s="900">
        <f>'3 bevételek'!G771</f>
        <v>0</v>
      </c>
      <c r="E106" s="900">
        <f t="shared" si="11"/>
        <v>25000000</v>
      </c>
      <c r="F106" s="89"/>
      <c r="G106" s="90"/>
      <c r="H106" s="90"/>
      <c r="I106" s="90"/>
    </row>
    <row r="107" spans="1:9" s="7" customFormat="1" ht="13.5" customHeight="1" x14ac:dyDescent="0.2">
      <c r="A107" s="910"/>
      <c r="B107" s="308" t="s">
        <v>303</v>
      </c>
      <c r="C107" s="900">
        <f>'3 bevételek'!F772</f>
        <v>100000000</v>
      </c>
      <c r="D107" s="900">
        <f>'3 bevételek'!G772</f>
        <v>0</v>
      </c>
      <c r="E107" s="900">
        <f t="shared" si="11"/>
        <v>100000000</v>
      </c>
      <c r="F107" s="89"/>
      <c r="G107" s="90"/>
      <c r="H107" s="90"/>
      <c r="I107" s="90"/>
    </row>
    <row r="108" spans="1:9" s="7" customFormat="1" ht="13.5" customHeight="1" x14ac:dyDescent="0.2">
      <c r="A108" s="910"/>
      <c r="B108" s="308" t="s">
        <v>304</v>
      </c>
      <c r="C108" s="900">
        <f>'3 bevételek'!F773</f>
        <v>97851110</v>
      </c>
      <c r="D108" s="900">
        <f>'3 bevételek'!G773</f>
        <v>0</v>
      </c>
      <c r="E108" s="900">
        <f t="shared" si="11"/>
        <v>97851110</v>
      </c>
      <c r="F108" s="89"/>
      <c r="G108" s="90"/>
      <c r="H108" s="90"/>
      <c r="I108" s="90"/>
    </row>
    <row r="109" spans="1:9" s="8" customFormat="1" ht="11.25" customHeight="1" x14ac:dyDescent="0.2">
      <c r="A109" s="815">
        <v>2</v>
      </c>
      <c r="B109" s="912" t="s">
        <v>200</v>
      </c>
      <c r="C109" s="721"/>
      <c r="D109" s="721"/>
      <c r="E109" s="900"/>
      <c r="F109" s="92"/>
      <c r="G109" s="92"/>
      <c r="H109" s="93"/>
      <c r="I109" s="91"/>
    </row>
    <row r="110" spans="1:9" s="8" customFormat="1" ht="15.75" customHeight="1" x14ac:dyDescent="0.2">
      <c r="A110" s="815"/>
      <c r="B110" s="308" t="s">
        <v>302</v>
      </c>
      <c r="C110" s="721">
        <f>'3 bevételek'!F775</f>
        <v>2700000</v>
      </c>
      <c r="D110" s="721">
        <f>'3 bevételek'!G775</f>
        <v>12100000</v>
      </c>
      <c r="E110" s="900">
        <f t="shared" si="11"/>
        <v>14800000</v>
      </c>
      <c r="F110" s="92"/>
      <c r="G110" s="92"/>
      <c r="H110" s="93"/>
      <c r="I110" s="91"/>
    </row>
    <row r="111" spans="1:9" s="8" customFormat="1" ht="11.25" customHeight="1" x14ac:dyDescent="0.2">
      <c r="A111" s="815"/>
      <c r="B111" s="308" t="s">
        <v>303</v>
      </c>
      <c r="C111" s="721">
        <f>'3 bevételek'!F776</f>
        <v>2700000</v>
      </c>
      <c r="D111" s="721">
        <f>'3 bevételek'!G776</f>
        <v>15581217</v>
      </c>
      <c r="E111" s="900">
        <f t="shared" si="11"/>
        <v>18281217</v>
      </c>
      <c r="F111" s="92"/>
      <c r="G111" s="92"/>
      <c r="H111" s="93"/>
      <c r="I111" s="91"/>
    </row>
    <row r="112" spans="1:9" s="8" customFormat="1" ht="11.25" customHeight="1" x14ac:dyDescent="0.2">
      <c r="A112" s="815"/>
      <c r="B112" s="308" t="s">
        <v>304</v>
      </c>
      <c r="C112" s="721">
        <f>'3 bevételek'!F777</f>
        <v>2700000</v>
      </c>
      <c r="D112" s="721">
        <f>'3 bevételek'!G777</f>
        <v>15581217</v>
      </c>
      <c r="E112" s="900">
        <f t="shared" si="11"/>
        <v>18281217</v>
      </c>
      <c r="F112" s="92"/>
      <c r="G112" s="92"/>
      <c r="H112" s="93"/>
      <c r="I112" s="91"/>
    </row>
    <row r="113" spans="1:9" s="8" customFormat="1" ht="12.75" customHeight="1" x14ac:dyDescent="0.2">
      <c r="A113" s="815">
        <v>3</v>
      </c>
      <c r="B113" s="803" t="s">
        <v>201</v>
      </c>
      <c r="C113" s="721"/>
      <c r="D113" s="721"/>
      <c r="E113" s="900"/>
      <c r="F113" s="92"/>
      <c r="G113" s="92"/>
      <c r="H113" s="93"/>
      <c r="I113" s="91"/>
    </row>
    <row r="114" spans="1:9" s="8" customFormat="1" ht="12.75" customHeight="1" x14ac:dyDescent="0.2">
      <c r="A114" s="815"/>
      <c r="B114" s="308" t="s">
        <v>302</v>
      </c>
      <c r="C114" s="721">
        <f>'3 bevételek'!F779</f>
        <v>0</v>
      </c>
      <c r="D114" s="721">
        <f>'3 bevételek'!G779</f>
        <v>0</v>
      </c>
      <c r="E114" s="900">
        <f t="shared" si="11"/>
        <v>0</v>
      </c>
      <c r="F114" s="92"/>
      <c r="G114" s="92"/>
      <c r="H114" s="93"/>
      <c r="I114" s="91"/>
    </row>
    <row r="115" spans="1:9" s="8" customFormat="1" ht="12.75" customHeight="1" x14ac:dyDescent="0.2">
      <c r="A115" s="815"/>
      <c r="B115" s="308" t="s">
        <v>303</v>
      </c>
      <c r="C115" s="721">
        <f>'3 bevételek'!F780</f>
        <v>6484529</v>
      </c>
      <c r="D115" s="721">
        <f>'3 bevételek'!G780</f>
        <v>0</v>
      </c>
      <c r="E115" s="900">
        <f t="shared" si="11"/>
        <v>6484529</v>
      </c>
      <c r="F115" s="92"/>
      <c r="G115" s="92"/>
      <c r="H115" s="93"/>
      <c r="I115" s="91"/>
    </row>
    <row r="116" spans="1:9" s="8" customFormat="1" ht="12.75" customHeight="1" thickBot="1" x14ac:dyDescent="0.25">
      <c r="A116" s="954"/>
      <c r="B116" s="415" t="s">
        <v>304</v>
      </c>
      <c r="C116" s="721">
        <f>'3 bevételek'!F781</f>
        <v>7444310</v>
      </c>
      <c r="D116" s="721">
        <f>'3 bevételek'!G781</f>
        <v>0</v>
      </c>
      <c r="E116" s="900">
        <f t="shared" si="11"/>
        <v>7444310</v>
      </c>
      <c r="F116" s="92"/>
      <c r="G116" s="92"/>
      <c r="H116" s="93"/>
      <c r="I116" s="91"/>
    </row>
    <row r="117" spans="1:9" s="36" customFormat="1" ht="24.75" customHeight="1" x14ac:dyDescent="0.2">
      <c r="A117" s="1319" t="s">
        <v>75</v>
      </c>
      <c r="B117" s="1320"/>
      <c r="C117" s="944"/>
      <c r="D117" s="944"/>
      <c r="E117" s="945"/>
      <c r="F117" s="94"/>
      <c r="G117" s="95"/>
      <c r="H117" s="94"/>
      <c r="I117" s="94"/>
    </row>
    <row r="118" spans="1:9" s="36" customFormat="1" ht="11.25" customHeight="1" x14ac:dyDescent="0.2">
      <c r="A118" s="956"/>
      <c r="B118" s="947" t="s">
        <v>302</v>
      </c>
      <c r="C118" s="948">
        <f t="shared" ref="C118:D120" si="14">C85+C93</f>
        <v>314284271</v>
      </c>
      <c r="D118" s="948">
        <f t="shared" si="14"/>
        <v>45658369</v>
      </c>
      <c r="E118" s="949">
        <f>C118+D118</f>
        <v>359942640</v>
      </c>
      <c r="F118" s="94"/>
      <c r="G118" s="95"/>
      <c r="H118" s="94"/>
      <c r="I118" s="94"/>
    </row>
    <row r="119" spans="1:9" s="36" customFormat="1" ht="12.75" customHeight="1" x14ac:dyDescent="0.2">
      <c r="A119" s="956"/>
      <c r="B119" s="947" t="s">
        <v>303</v>
      </c>
      <c r="C119" s="948">
        <f t="shared" si="14"/>
        <v>398389217</v>
      </c>
      <c r="D119" s="948">
        <f t="shared" si="14"/>
        <v>271318571</v>
      </c>
      <c r="E119" s="949">
        <f t="shared" ref="E119" si="15">C119+D119</f>
        <v>669707788</v>
      </c>
      <c r="F119" s="94"/>
      <c r="G119" s="95"/>
      <c r="H119" s="94"/>
      <c r="I119" s="94"/>
    </row>
    <row r="120" spans="1:9" s="36" customFormat="1" ht="10.5" customHeight="1" thickBot="1" x14ac:dyDescent="0.25">
      <c r="A120" s="957"/>
      <c r="B120" s="951" t="s">
        <v>304</v>
      </c>
      <c r="C120" s="948">
        <f t="shared" si="14"/>
        <v>414321710</v>
      </c>
      <c r="D120" s="948">
        <f t="shared" si="14"/>
        <v>235630545</v>
      </c>
      <c r="E120" s="949">
        <f>C120+D120</f>
        <v>649952255</v>
      </c>
      <c r="F120" s="95"/>
      <c r="G120" s="95"/>
      <c r="H120" s="94"/>
      <c r="I120" s="94"/>
    </row>
    <row r="121" spans="1:9" s="3" customFormat="1" x14ac:dyDescent="0.2">
      <c r="A121" s="1324" t="s">
        <v>13</v>
      </c>
      <c r="B121" s="1324"/>
      <c r="C121" s="955" t="s">
        <v>14</v>
      </c>
      <c r="D121" s="955" t="s">
        <v>15</v>
      </c>
      <c r="E121" s="1324" t="s">
        <v>16</v>
      </c>
    </row>
    <row r="122" spans="1:9" s="3" customFormat="1" x14ac:dyDescent="0.2">
      <c r="A122" s="1325"/>
      <c r="B122" s="1325"/>
      <c r="C122" s="913" t="s">
        <v>17</v>
      </c>
      <c r="D122" s="913" t="s">
        <v>17</v>
      </c>
      <c r="E122" s="1325"/>
    </row>
    <row r="123" spans="1:9" ht="4.5" customHeight="1" x14ac:dyDescent="0.2">
      <c r="A123" s="901"/>
      <c r="B123" s="831"/>
      <c r="C123" s="914"/>
      <c r="D123" s="914"/>
      <c r="E123" s="901"/>
    </row>
    <row r="124" spans="1:9" ht="13.5" customHeight="1" x14ac:dyDescent="0.15">
      <c r="A124" s="1321" t="s">
        <v>21</v>
      </c>
      <c r="B124" s="1321"/>
      <c r="C124" s="1321"/>
      <c r="D124" s="1321"/>
      <c r="E124" s="1321"/>
    </row>
    <row r="125" spans="1:9" s="4" customFormat="1" ht="11.25" customHeight="1" x14ac:dyDescent="0.2">
      <c r="A125" s="897" t="s">
        <v>19</v>
      </c>
      <c r="B125" s="909" t="s">
        <v>57</v>
      </c>
      <c r="C125" s="915"/>
      <c r="D125" s="916"/>
      <c r="E125" s="910"/>
    </row>
    <row r="126" spans="1:9" s="5" customFormat="1" ht="13.5" customHeight="1" x14ac:dyDescent="0.2">
      <c r="A126" s="901" t="s">
        <v>2</v>
      </c>
      <c r="B126" s="831" t="s">
        <v>11</v>
      </c>
      <c r="C126" s="905"/>
      <c r="D126" s="906"/>
      <c r="E126" s="907"/>
    </row>
    <row r="127" spans="1:9" s="5" customFormat="1" ht="13.5" customHeight="1" x14ac:dyDescent="0.2">
      <c r="A127" s="901"/>
      <c r="B127" s="308" t="s">
        <v>302</v>
      </c>
      <c r="C127" s="905">
        <f>'3 bevételek'!F793</f>
        <v>149614061</v>
      </c>
      <c r="D127" s="906"/>
      <c r="E127" s="907">
        <f t="shared" ref="E127:E177" si="16">SUM(C127:D127)</f>
        <v>149614061</v>
      </c>
    </row>
    <row r="128" spans="1:9" s="5" customFormat="1" ht="13.5" customHeight="1" x14ac:dyDescent="0.2">
      <c r="A128" s="901"/>
      <c r="B128" s="308" t="s">
        <v>303</v>
      </c>
      <c r="C128" s="905">
        <f>'3 bevételek'!F794</f>
        <v>154706502</v>
      </c>
      <c r="D128" s="906"/>
      <c r="E128" s="907">
        <f t="shared" si="16"/>
        <v>154706502</v>
      </c>
    </row>
    <row r="129" spans="1:8" s="5" customFormat="1" ht="13.5" customHeight="1" x14ac:dyDescent="0.2">
      <c r="A129" s="901"/>
      <c r="B129" s="308" t="s">
        <v>304</v>
      </c>
      <c r="C129" s="905">
        <f>'3 bevételek'!F795</f>
        <v>142168033</v>
      </c>
      <c r="D129" s="906"/>
      <c r="E129" s="907">
        <f t="shared" si="16"/>
        <v>142168033</v>
      </c>
    </row>
    <row r="130" spans="1:8" s="5" customFormat="1" ht="13.5" customHeight="1" x14ac:dyDescent="0.2">
      <c r="A130" s="901" t="s">
        <v>3</v>
      </c>
      <c r="B130" s="831" t="s">
        <v>56</v>
      </c>
      <c r="C130" s="905"/>
      <c r="D130" s="906"/>
      <c r="E130" s="907"/>
    </row>
    <row r="131" spans="1:8" s="5" customFormat="1" ht="13.5" customHeight="1" x14ac:dyDescent="0.2">
      <c r="A131" s="901"/>
      <c r="B131" s="308" t="s">
        <v>302</v>
      </c>
      <c r="C131" s="905">
        <f>'3 bevételek'!F797</f>
        <v>33904878</v>
      </c>
      <c r="D131" s="906"/>
      <c r="E131" s="907">
        <f t="shared" si="16"/>
        <v>33904878</v>
      </c>
    </row>
    <row r="132" spans="1:8" s="5" customFormat="1" ht="13.5" customHeight="1" x14ac:dyDescent="0.2">
      <c r="A132" s="901"/>
      <c r="B132" s="308" t="s">
        <v>303</v>
      </c>
      <c r="C132" s="905">
        <f>'3 bevételek'!F798</f>
        <v>29573173.100000001</v>
      </c>
      <c r="D132" s="906"/>
      <c r="E132" s="907">
        <f t="shared" si="16"/>
        <v>29573173.100000001</v>
      </c>
    </row>
    <row r="133" spans="1:8" s="5" customFormat="1" ht="13.5" customHeight="1" x14ac:dyDescent="0.2">
      <c r="A133" s="901"/>
      <c r="B133" s="308" t="s">
        <v>304</v>
      </c>
      <c r="C133" s="905">
        <f>'3 bevételek'!F799</f>
        <v>27899609</v>
      </c>
      <c r="D133" s="906"/>
      <c r="E133" s="907">
        <f t="shared" si="16"/>
        <v>27899609</v>
      </c>
    </row>
    <row r="134" spans="1:8" s="5" customFormat="1" ht="13.5" customHeight="1" x14ac:dyDescent="0.2">
      <c r="A134" s="901" t="s">
        <v>4</v>
      </c>
      <c r="B134" s="831" t="s">
        <v>12</v>
      </c>
      <c r="C134" s="905"/>
      <c r="D134" s="906"/>
      <c r="E134" s="907"/>
    </row>
    <row r="135" spans="1:8" s="5" customFormat="1" ht="13.5" customHeight="1" x14ac:dyDescent="0.2">
      <c r="A135" s="901"/>
      <c r="B135" s="308" t="s">
        <v>302</v>
      </c>
      <c r="C135" s="905">
        <f>'3 bevételek'!F801</f>
        <v>95606233</v>
      </c>
      <c r="D135" s="906"/>
      <c r="E135" s="907">
        <f t="shared" si="16"/>
        <v>95606233</v>
      </c>
    </row>
    <row r="136" spans="1:8" s="5" customFormat="1" ht="13.5" customHeight="1" x14ac:dyDescent="0.2">
      <c r="A136" s="901"/>
      <c r="B136" s="308" t="s">
        <v>303</v>
      </c>
      <c r="C136" s="905">
        <f>'3 bevételek'!F802</f>
        <v>124951971</v>
      </c>
      <c r="D136" s="906"/>
      <c r="E136" s="907">
        <f t="shared" si="16"/>
        <v>124951971</v>
      </c>
    </row>
    <row r="137" spans="1:8" s="5" customFormat="1" ht="13.5" customHeight="1" x14ac:dyDescent="0.2">
      <c r="A137" s="901"/>
      <c r="B137" s="308" t="s">
        <v>304</v>
      </c>
      <c r="C137" s="905">
        <f>'3 bevételek'!F803</f>
        <v>119799500.39999999</v>
      </c>
      <c r="D137" s="906"/>
      <c r="E137" s="907">
        <f t="shared" si="16"/>
        <v>119799500.39999999</v>
      </c>
    </row>
    <row r="138" spans="1:8" s="5" customFormat="1" ht="13.5" customHeight="1" x14ac:dyDescent="0.2">
      <c r="A138" s="901" t="s">
        <v>5</v>
      </c>
      <c r="B138" s="797" t="s">
        <v>51</v>
      </c>
      <c r="C138" s="905">
        <f>'3 bevételek'!F721</f>
        <v>0</v>
      </c>
      <c r="D138" s="906"/>
      <c r="E138" s="907">
        <f t="shared" si="16"/>
        <v>0</v>
      </c>
      <c r="G138" s="34"/>
    </row>
    <row r="139" spans="1:8" s="5" customFormat="1" ht="13.5" customHeight="1" x14ac:dyDescent="0.2">
      <c r="A139" s="901"/>
      <c r="B139" s="308" t="s">
        <v>302</v>
      </c>
      <c r="C139" s="905">
        <f>'3 bevételek'!F805</f>
        <v>3848000</v>
      </c>
      <c r="D139" s="906"/>
      <c r="E139" s="907">
        <f t="shared" si="16"/>
        <v>3848000</v>
      </c>
      <c r="G139" s="34"/>
    </row>
    <row r="140" spans="1:8" s="5" customFormat="1" ht="13.5" customHeight="1" x14ac:dyDescent="0.2">
      <c r="A140" s="901"/>
      <c r="B140" s="308" t="s">
        <v>303</v>
      </c>
      <c r="C140" s="905">
        <f>'3 bevételek'!F806</f>
        <v>4419000</v>
      </c>
      <c r="D140" s="906"/>
      <c r="E140" s="907">
        <f t="shared" si="16"/>
        <v>4419000</v>
      </c>
      <c r="G140" s="34"/>
    </row>
    <row r="141" spans="1:8" s="5" customFormat="1" ht="13.5" customHeight="1" x14ac:dyDescent="0.2">
      <c r="A141" s="901"/>
      <c r="B141" s="308" t="s">
        <v>304</v>
      </c>
      <c r="C141" s="905">
        <f>'3 bevételek'!F807</f>
        <v>4193931</v>
      </c>
      <c r="D141" s="906"/>
      <c r="E141" s="907">
        <f t="shared" si="16"/>
        <v>4193931</v>
      </c>
      <c r="G141" s="34"/>
    </row>
    <row r="142" spans="1:8" s="5" customFormat="1" ht="13.5" customHeight="1" x14ac:dyDescent="0.2">
      <c r="A142" s="901" t="s">
        <v>7</v>
      </c>
      <c r="B142" s="917" t="s">
        <v>49</v>
      </c>
      <c r="C142" s="905">
        <f>'3 bevételek'!F722</f>
        <v>0</v>
      </c>
      <c r="D142" s="906"/>
      <c r="E142" s="907">
        <f t="shared" si="16"/>
        <v>0</v>
      </c>
      <c r="F142" s="34"/>
      <c r="H142" s="34"/>
    </row>
    <row r="143" spans="1:8" s="5" customFormat="1" ht="13.5" customHeight="1" x14ac:dyDescent="0.2">
      <c r="A143" s="901"/>
      <c r="B143" s="308" t="s">
        <v>302</v>
      </c>
      <c r="C143" s="905">
        <f>'3 bevételek'!F809</f>
        <v>6311099</v>
      </c>
      <c r="D143" s="906"/>
      <c r="E143" s="907">
        <f t="shared" si="16"/>
        <v>6311099</v>
      </c>
      <c r="F143" s="34"/>
      <c r="H143" s="34"/>
    </row>
    <row r="144" spans="1:8" s="5" customFormat="1" ht="13.5" customHeight="1" x14ac:dyDescent="0.2">
      <c r="A144" s="901"/>
      <c r="B144" s="308" t="s">
        <v>303</v>
      </c>
      <c r="C144" s="905">
        <f>'3 bevételek'!F810</f>
        <v>7183417</v>
      </c>
      <c r="D144" s="906"/>
      <c r="E144" s="907">
        <f t="shared" si="16"/>
        <v>7183417</v>
      </c>
      <c r="F144" s="34"/>
      <c r="H144" s="34"/>
    </row>
    <row r="145" spans="1:8" s="5" customFormat="1" ht="13.5" customHeight="1" x14ac:dyDescent="0.2">
      <c r="A145" s="901"/>
      <c r="B145" s="308" t="s">
        <v>304</v>
      </c>
      <c r="C145" s="905">
        <f>'3 bevételek'!F811</f>
        <v>6458688</v>
      </c>
      <c r="D145" s="906"/>
      <c r="E145" s="907">
        <f t="shared" si="16"/>
        <v>6458688</v>
      </c>
      <c r="F145" s="34"/>
      <c r="H145" s="34"/>
    </row>
    <row r="146" spans="1:8" s="6" customFormat="1" ht="14.25" customHeight="1" x14ac:dyDescent="0.2">
      <c r="A146" s="1316" t="s">
        <v>58</v>
      </c>
      <c r="B146" s="1316"/>
      <c r="C146" s="907"/>
      <c r="D146" s="918"/>
      <c r="E146" s="907">
        <f t="shared" si="16"/>
        <v>0</v>
      </c>
    </row>
    <row r="147" spans="1:8" s="6" customFormat="1" ht="14.25" customHeight="1" x14ac:dyDescent="0.2">
      <c r="A147" s="903"/>
      <c r="B147" s="308" t="s">
        <v>302</v>
      </c>
      <c r="C147" s="907">
        <f>'3 bevételek'!F813</f>
        <v>289284271</v>
      </c>
      <c r="D147" s="918"/>
      <c r="E147" s="907">
        <f t="shared" si="16"/>
        <v>289284271</v>
      </c>
    </row>
    <row r="148" spans="1:8" s="6" customFormat="1" ht="14.25" customHeight="1" x14ac:dyDescent="0.2">
      <c r="A148" s="903"/>
      <c r="B148" s="308" t="s">
        <v>303</v>
      </c>
      <c r="C148" s="907">
        <f>'3 bevételek'!F814</f>
        <v>320834063.10000002</v>
      </c>
      <c r="D148" s="918"/>
      <c r="E148" s="907">
        <f t="shared" si="16"/>
        <v>320834063.10000002</v>
      </c>
    </row>
    <row r="149" spans="1:8" s="6" customFormat="1" ht="14.25" customHeight="1" x14ac:dyDescent="0.2">
      <c r="A149" s="903"/>
      <c r="B149" s="308" t="s">
        <v>304</v>
      </c>
      <c r="C149" s="907">
        <f>'3 bevételek'!F815</f>
        <v>300519761.39999998</v>
      </c>
      <c r="D149" s="918"/>
      <c r="E149" s="907">
        <f>SUM(C149:D149)</f>
        <v>300519761.39999998</v>
      </c>
    </row>
    <row r="150" spans="1:8" s="4" customFormat="1" ht="15" customHeight="1" x14ac:dyDescent="0.2">
      <c r="A150" s="897" t="s">
        <v>20</v>
      </c>
      <c r="B150" s="909" t="s">
        <v>59</v>
      </c>
      <c r="C150" s="919"/>
      <c r="D150" s="899"/>
      <c r="E150" s="907"/>
    </row>
    <row r="151" spans="1:8" s="5" customFormat="1" ht="13.5" customHeight="1" x14ac:dyDescent="0.2">
      <c r="A151" s="901" t="s">
        <v>2</v>
      </c>
      <c r="B151" s="831" t="s">
        <v>22</v>
      </c>
      <c r="C151" s="906"/>
      <c r="D151" s="905"/>
      <c r="E151" s="907"/>
    </row>
    <row r="152" spans="1:8" s="5" customFormat="1" ht="13.5" customHeight="1" x14ac:dyDescent="0.2">
      <c r="A152" s="901"/>
      <c r="B152" s="308" t="s">
        <v>302</v>
      </c>
      <c r="C152" s="906"/>
      <c r="D152" s="905">
        <f>'3 bevételek'!G818</f>
        <v>45658369</v>
      </c>
      <c r="E152" s="907">
        <f t="shared" si="16"/>
        <v>45658369</v>
      </c>
    </row>
    <row r="153" spans="1:8" s="5" customFormat="1" ht="13.5" customHeight="1" x14ac:dyDescent="0.2">
      <c r="A153" s="901"/>
      <c r="B153" s="308" t="s">
        <v>303</v>
      </c>
      <c r="C153" s="906"/>
      <c r="D153" s="905">
        <f>'3 bevételek'!G819</f>
        <v>87410424.579999998</v>
      </c>
      <c r="E153" s="907">
        <f t="shared" si="16"/>
        <v>87410424.579999998</v>
      </c>
    </row>
    <row r="154" spans="1:8" s="5" customFormat="1" ht="13.5" customHeight="1" x14ac:dyDescent="0.2">
      <c r="A154" s="901"/>
      <c r="B154" s="308" t="s">
        <v>304</v>
      </c>
      <c r="C154" s="906"/>
      <c r="D154" s="905">
        <f>'3 bevételek'!G820</f>
        <v>26682128</v>
      </c>
      <c r="E154" s="907">
        <f t="shared" si="16"/>
        <v>26682128</v>
      </c>
      <c r="F154" s="34"/>
      <c r="G154" s="34"/>
    </row>
    <row r="155" spans="1:8" s="5" customFormat="1" ht="12" customHeight="1" x14ac:dyDescent="0.2">
      <c r="A155" s="901" t="s">
        <v>3</v>
      </c>
      <c r="B155" s="831" t="s">
        <v>23</v>
      </c>
      <c r="C155" s="906"/>
      <c r="D155" s="905"/>
      <c r="E155" s="907"/>
    </row>
    <row r="156" spans="1:8" s="5" customFormat="1" ht="12" customHeight="1" x14ac:dyDescent="0.2">
      <c r="A156" s="901"/>
      <c r="B156" s="308" t="s">
        <v>302</v>
      </c>
      <c r="C156" s="906"/>
      <c r="D156" s="905">
        <f>'3 bevételek'!G822</f>
        <v>0</v>
      </c>
      <c r="E156" s="907">
        <f t="shared" si="16"/>
        <v>0</v>
      </c>
      <c r="F156" s="34"/>
    </row>
    <row r="157" spans="1:8" s="5" customFormat="1" ht="12" customHeight="1" x14ac:dyDescent="0.2">
      <c r="A157" s="901"/>
      <c r="B157" s="308" t="s">
        <v>303</v>
      </c>
      <c r="C157" s="906"/>
      <c r="D157" s="905">
        <f>'3 bevételek'!G823</f>
        <v>154978781</v>
      </c>
      <c r="E157" s="907">
        <f t="shared" si="16"/>
        <v>154978781</v>
      </c>
    </row>
    <row r="158" spans="1:8" s="5" customFormat="1" ht="12" customHeight="1" x14ac:dyDescent="0.2">
      <c r="A158" s="901"/>
      <c r="B158" s="308" t="s">
        <v>304</v>
      </c>
      <c r="C158" s="906"/>
      <c r="D158" s="905">
        <f>'3 bevételek'!G824</f>
        <v>22420149</v>
      </c>
      <c r="E158" s="907">
        <f t="shared" si="16"/>
        <v>22420149</v>
      </c>
    </row>
    <row r="159" spans="1:8" s="5" customFormat="1" ht="12" customHeight="1" x14ac:dyDescent="0.2">
      <c r="A159" s="901" t="s">
        <v>4</v>
      </c>
      <c r="B159" s="831" t="s">
        <v>27</v>
      </c>
      <c r="C159" s="906"/>
      <c r="D159" s="905"/>
      <c r="E159" s="907"/>
    </row>
    <row r="160" spans="1:8" s="5" customFormat="1" ht="12" customHeight="1" x14ac:dyDescent="0.2">
      <c r="A160" s="901"/>
      <c r="B160" s="308" t="s">
        <v>302</v>
      </c>
      <c r="C160" s="906"/>
      <c r="D160" s="905">
        <f>'3 bevételek'!G826</f>
        <v>0</v>
      </c>
      <c r="E160" s="907">
        <f t="shared" si="16"/>
        <v>0</v>
      </c>
    </row>
    <row r="161" spans="1:8" s="5" customFormat="1" ht="12" customHeight="1" x14ac:dyDescent="0.2">
      <c r="A161" s="901"/>
      <c r="B161" s="308" t="s">
        <v>303</v>
      </c>
      <c r="C161" s="906"/>
      <c r="D161" s="905">
        <f>'3 bevételek'!G827</f>
        <v>0</v>
      </c>
      <c r="E161" s="907">
        <f t="shared" si="16"/>
        <v>0</v>
      </c>
    </row>
    <row r="162" spans="1:8" s="5" customFormat="1" ht="12" customHeight="1" thickBot="1" x14ac:dyDescent="0.25">
      <c r="A162" s="54"/>
      <c r="B162" s="335" t="s">
        <v>304</v>
      </c>
      <c r="C162" s="826"/>
      <c r="D162" s="905">
        <f>'3 bevételek'!G828</f>
        <v>0</v>
      </c>
      <c r="E162" s="907">
        <f t="shared" si="16"/>
        <v>0</v>
      </c>
    </row>
    <row r="163" spans="1:8" s="6" customFormat="1" ht="12.75" customHeight="1" thickTop="1" thickBot="1" x14ac:dyDescent="0.25">
      <c r="A163" s="1317" t="s">
        <v>60</v>
      </c>
      <c r="B163" s="1318"/>
      <c r="C163" s="63"/>
      <c r="D163" s="98"/>
      <c r="E163" s="907"/>
      <c r="F163" s="67"/>
      <c r="G163" s="67"/>
      <c r="H163" s="67"/>
    </row>
    <row r="164" spans="1:8" s="6" customFormat="1" ht="12.75" customHeight="1" thickTop="1" thickBot="1" x14ac:dyDescent="0.25">
      <c r="A164" s="542"/>
      <c r="B164" s="308" t="s">
        <v>302</v>
      </c>
      <c r="C164" s="827"/>
      <c r="D164" s="99">
        <f>'3 bevételek'!G830</f>
        <v>45658369</v>
      </c>
      <c r="E164" s="907">
        <f t="shared" si="16"/>
        <v>45658369</v>
      </c>
      <c r="F164" s="67"/>
      <c r="G164" s="67"/>
      <c r="H164" s="67"/>
    </row>
    <row r="165" spans="1:8" s="6" customFormat="1" ht="12.75" customHeight="1" thickTop="1" thickBot="1" x14ac:dyDescent="0.25">
      <c r="A165" s="542"/>
      <c r="B165" s="308" t="s">
        <v>303</v>
      </c>
      <c r="C165" s="827"/>
      <c r="D165" s="99">
        <f>'3 bevételek'!G831</f>
        <v>242389205.57999998</v>
      </c>
      <c r="E165" s="907">
        <f t="shared" si="16"/>
        <v>242389205.57999998</v>
      </c>
      <c r="F165" s="67"/>
      <c r="G165" s="67"/>
      <c r="H165" s="67"/>
    </row>
    <row r="166" spans="1:8" s="6" customFormat="1" ht="12.75" customHeight="1" thickTop="1" thickBot="1" x14ac:dyDescent="0.25">
      <c r="A166" s="542"/>
      <c r="B166" s="308" t="s">
        <v>304</v>
      </c>
      <c r="C166" s="827"/>
      <c r="D166" s="99">
        <f>'3 bevételek'!G832</f>
        <v>49102277</v>
      </c>
      <c r="E166" s="907">
        <f t="shared" si="16"/>
        <v>49102277</v>
      </c>
      <c r="F166" s="67"/>
      <c r="G166" s="67"/>
      <c r="H166" s="67"/>
    </row>
    <row r="167" spans="1:8" s="6" customFormat="1" ht="12.75" customHeight="1" thickTop="1" thickBot="1" x14ac:dyDescent="0.25">
      <c r="A167" s="1322" t="s">
        <v>180</v>
      </c>
      <c r="B167" s="1323"/>
      <c r="C167" s="99">
        <f>C146</f>
        <v>0</v>
      </c>
      <c r="D167" s="99">
        <f>D163</f>
        <v>0</v>
      </c>
      <c r="E167" s="907">
        <f t="shared" si="16"/>
        <v>0</v>
      </c>
      <c r="F167" s="67"/>
      <c r="G167" s="67"/>
      <c r="H167" s="67"/>
    </row>
    <row r="168" spans="1:8" s="6" customFormat="1" ht="12.75" customHeight="1" thickTop="1" thickBot="1" x14ac:dyDescent="0.25">
      <c r="A168" s="55"/>
      <c r="B168" s="308" t="s">
        <v>302</v>
      </c>
      <c r="C168" s="99">
        <f>C147</f>
        <v>289284271</v>
      </c>
      <c r="D168" s="99">
        <f>D164</f>
        <v>45658369</v>
      </c>
      <c r="E168" s="907">
        <f t="shared" si="16"/>
        <v>334942640</v>
      </c>
      <c r="F168" s="67"/>
      <c r="G168" s="67"/>
      <c r="H168" s="67"/>
    </row>
    <row r="169" spans="1:8" s="6" customFormat="1" ht="12.75" customHeight="1" thickTop="1" thickBot="1" x14ac:dyDescent="0.25">
      <c r="A169" s="55"/>
      <c r="B169" s="308" t="s">
        <v>303</v>
      </c>
      <c r="C169" s="99">
        <f t="shared" ref="C169:C170" si="17">C148</f>
        <v>320834063.10000002</v>
      </c>
      <c r="D169" s="99">
        <f t="shared" ref="D169:D170" si="18">D165</f>
        <v>242389205.57999998</v>
      </c>
      <c r="E169" s="907">
        <f t="shared" si="16"/>
        <v>563223268.68000007</v>
      </c>
      <c r="F169" s="67"/>
      <c r="G169" s="67"/>
      <c r="H169" s="67"/>
    </row>
    <row r="170" spans="1:8" s="6" customFormat="1" ht="12.75" customHeight="1" thickTop="1" thickBot="1" x14ac:dyDescent="0.25">
      <c r="A170" s="55"/>
      <c r="B170" s="308" t="s">
        <v>304</v>
      </c>
      <c r="C170" s="99">
        <f t="shared" si="17"/>
        <v>300519761.39999998</v>
      </c>
      <c r="D170" s="99">
        <f t="shared" si="18"/>
        <v>49102277</v>
      </c>
      <c r="E170" s="907">
        <f t="shared" si="16"/>
        <v>349622038.39999998</v>
      </c>
      <c r="F170" s="67"/>
      <c r="G170" s="67"/>
      <c r="H170" s="67"/>
    </row>
    <row r="171" spans="1:8" s="6" customFormat="1" ht="12.75" customHeight="1" thickTop="1" x14ac:dyDescent="0.2">
      <c r="A171" s="828" t="s">
        <v>24</v>
      </c>
      <c r="B171" s="56" t="s">
        <v>45</v>
      </c>
      <c r="C171" s="99"/>
      <c r="D171" s="99"/>
      <c r="E171" s="907">
        <f t="shared" si="16"/>
        <v>0</v>
      </c>
    </row>
    <row r="172" spans="1:8" s="6" customFormat="1" ht="12.75" customHeight="1" x14ac:dyDescent="0.2">
      <c r="A172" s="829"/>
      <c r="B172" s="308" t="s">
        <v>302</v>
      </c>
      <c r="C172" s="100">
        <f>'3 bevételek'!F834</f>
        <v>25000000</v>
      </c>
      <c r="D172" s="100">
        <f>'3 bevételek'!G834</f>
        <v>0</v>
      </c>
      <c r="E172" s="907">
        <f t="shared" si="16"/>
        <v>25000000</v>
      </c>
    </row>
    <row r="173" spans="1:8" s="6" customFormat="1" ht="12.75" customHeight="1" x14ac:dyDescent="0.2">
      <c r="A173" s="829"/>
      <c r="B173" s="308" t="s">
        <v>303</v>
      </c>
      <c r="C173" s="100">
        <f>'3 bevételek'!F835</f>
        <v>106484529</v>
      </c>
      <c r="D173" s="100">
        <f>'3 bevételek'!G835</f>
        <v>0</v>
      </c>
      <c r="E173" s="907">
        <f t="shared" si="16"/>
        <v>106484529</v>
      </c>
    </row>
    <row r="174" spans="1:8" s="6" customFormat="1" ht="14.25" customHeight="1" thickBot="1" x14ac:dyDescent="0.25">
      <c r="A174" s="830"/>
      <c r="B174" s="308" t="s">
        <v>304</v>
      </c>
      <c r="C174" s="100">
        <f>'3 bevételek'!F836</f>
        <v>104335639</v>
      </c>
      <c r="D174" s="100">
        <f>'3 bevételek'!G836</f>
        <v>0</v>
      </c>
      <c r="E174" s="907">
        <f t="shared" si="16"/>
        <v>104335639</v>
      </c>
      <c r="F174" s="67"/>
    </row>
    <row r="175" spans="1:8" s="7" customFormat="1" ht="15" customHeight="1" thickTop="1" x14ac:dyDescent="0.2">
      <c r="A175" s="1314" t="s">
        <v>125</v>
      </c>
      <c r="B175" s="1315"/>
      <c r="C175" s="958"/>
      <c r="D175" s="958"/>
      <c r="E175" s="959"/>
      <c r="F175" s="33"/>
      <c r="G175" s="90"/>
      <c r="H175" s="33"/>
    </row>
    <row r="176" spans="1:8" x14ac:dyDescent="0.2">
      <c r="A176" s="960"/>
      <c r="B176" s="947" t="s">
        <v>302</v>
      </c>
      <c r="C176" s="961">
        <f>'3 bevételek'!F838</f>
        <v>314284271</v>
      </c>
      <c r="D176" s="961">
        <f>'3 bevételek'!G838</f>
        <v>45658369</v>
      </c>
      <c r="E176" s="959">
        <f t="shared" si="16"/>
        <v>359942640</v>
      </c>
      <c r="G176" s="165"/>
      <c r="H176" s="68"/>
    </row>
    <row r="177" spans="1:6" x14ac:dyDescent="0.2">
      <c r="A177" s="960"/>
      <c r="B177" s="947" t="s">
        <v>303</v>
      </c>
      <c r="C177" s="961">
        <f>'3 bevételek'!F839</f>
        <v>427318592.10000002</v>
      </c>
      <c r="D177" s="961">
        <f>'3 bevételek'!G839</f>
        <v>242389205.57999998</v>
      </c>
      <c r="E177" s="959">
        <f t="shared" si="16"/>
        <v>669707797.68000007</v>
      </c>
    </row>
    <row r="178" spans="1:6" x14ac:dyDescent="0.2">
      <c r="A178" s="960"/>
      <c r="B178" s="947" t="s">
        <v>304</v>
      </c>
      <c r="C178" s="961">
        <f>'3 bevételek'!F840</f>
        <v>404855400.39999998</v>
      </c>
      <c r="D178" s="961">
        <f>'3 bevételek'!G840</f>
        <v>49102277</v>
      </c>
      <c r="E178" s="959">
        <f>SUM(C178:D178)</f>
        <v>453957677.39999998</v>
      </c>
      <c r="F178" s="68"/>
    </row>
    <row r="179" spans="1:6" x14ac:dyDescent="0.2">
      <c r="C179" s="57"/>
      <c r="D179" s="57"/>
      <c r="E179" s="57"/>
    </row>
    <row r="180" spans="1:6" x14ac:dyDescent="0.2">
      <c r="C180" s="57"/>
      <c r="D180" s="57"/>
      <c r="E180" s="57"/>
    </row>
    <row r="183" spans="1:6" x14ac:dyDescent="0.2">
      <c r="C183" s="64"/>
      <c r="D183" s="64"/>
      <c r="E183" s="64"/>
      <c r="F183" s="66"/>
    </row>
  </sheetData>
  <mergeCells count="24">
    <mergeCell ref="A80:B80"/>
    <mergeCell ref="A84:B84"/>
    <mergeCell ref="A88:B88"/>
    <mergeCell ref="A28:A31"/>
    <mergeCell ref="A32:A35"/>
    <mergeCell ref="A36:A39"/>
    <mergeCell ref="A40:A43"/>
    <mergeCell ref="A44:A47"/>
    <mergeCell ref="C1:E1"/>
    <mergeCell ref="A8:B9"/>
    <mergeCell ref="E8:E9"/>
    <mergeCell ref="A11:E11"/>
    <mergeCell ref="A175:B175"/>
    <mergeCell ref="A146:B146"/>
    <mergeCell ref="A163:B163"/>
    <mergeCell ref="A117:B117"/>
    <mergeCell ref="A124:E124"/>
    <mergeCell ref="A167:B167"/>
    <mergeCell ref="A121:B122"/>
    <mergeCell ref="E121:E122"/>
    <mergeCell ref="A101:A104"/>
    <mergeCell ref="A16:A19"/>
    <mergeCell ref="A20:A23"/>
    <mergeCell ref="A24:A27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1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40"/>
  <sheetViews>
    <sheetView view="pageBreakPreview" topLeftCell="B780" zoomScaleSheetLayoutView="100" workbookViewId="0">
      <selection activeCell="H840" sqref="H840"/>
    </sheetView>
  </sheetViews>
  <sheetFormatPr defaultRowHeight="12" customHeight="1" x14ac:dyDescent="0.2"/>
  <cols>
    <col min="1" max="1" width="3.140625" style="38" customWidth="1"/>
    <col min="2" max="2" width="3.85546875" style="38" customWidth="1"/>
    <col min="3" max="3" width="7.42578125" style="38" customWidth="1"/>
    <col min="4" max="4" width="11.5703125" style="38" customWidth="1"/>
    <col min="5" max="5" width="81" style="39" customWidth="1"/>
    <col min="6" max="6" width="13.7109375" style="146" customWidth="1"/>
    <col min="7" max="7" width="13.42578125" style="146" customWidth="1"/>
    <col min="8" max="8" width="14.42578125" style="146" customWidth="1"/>
    <col min="9" max="9" width="10.7109375" style="8" customWidth="1"/>
    <col min="10" max="10" width="10.140625" style="8" bestFit="1" customWidth="1"/>
    <col min="11" max="11" width="10" style="8" bestFit="1" customWidth="1"/>
    <col min="12" max="13" width="9.5703125" style="8" bestFit="1" customWidth="1"/>
    <col min="14" max="14" width="10.28515625" style="8" bestFit="1" customWidth="1"/>
    <col min="15" max="15" width="9.5703125" style="8" bestFit="1" customWidth="1"/>
    <col min="16" max="16384" width="9.140625" style="8"/>
  </cols>
  <sheetData>
    <row r="1" spans="1:12" ht="12" customHeight="1" x14ac:dyDescent="0.2">
      <c r="A1" s="134"/>
      <c r="B1" s="134"/>
      <c r="C1" s="134"/>
      <c r="D1" s="134"/>
      <c r="E1" s="1566"/>
      <c r="F1" s="1566"/>
      <c r="G1" s="1566"/>
      <c r="H1" s="1566"/>
    </row>
    <row r="2" spans="1:12" ht="15" customHeight="1" x14ac:dyDescent="0.2">
      <c r="A2" s="135"/>
      <c r="B2" s="135"/>
      <c r="C2" s="135"/>
      <c r="D2" s="135"/>
      <c r="E2" s="136"/>
      <c r="F2" s="137"/>
      <c r="G2" s="137"/>
      <c r="H2" s="137"/>
    </row>
    <row r="3" spans="1:12" ht="14.25" customHeight="1" thickBot="1" x14ac:dyDescent="0.25">
      <c r="A3" s="138"/>
      <c r="B3" s="138"/>
      <c r="C3" s="138"/>
      <c r="D3" s="138"/>
      <c r="E3" s="139"/>
      <c r="F3" s="140"/>
      <c r="G3" s="140"/>
      <c r="H3" s="141"/>
      <c r="I3" s="78"/>
      <c r="J3" s="78"/>
      <c r="K3" s="78"/>
      <c r="L3" s="78"/>
    </row>
    <row r="4" spans="1:12" ht="27" customHeight="1" x14ac:dyDescent="0.2">
      <c r="A4" s="142"/>
      <c r="B4" s="143"/>
      <c r="C4" s="1540" t="s">
        <v>80</v>
      </c>
      <c r="D4" s="1546" t="s">
        <v>175</v>
      </c>
      <c r="E4" s="1542" t="s">
        <v>25</v>
      </c>
      <c r="F4" s="1548" t="s">
        <v>139</v>
      </c>
      <c r="G4" s="1548" t="s">
        <v>152</v>
      </c>
      <c r="H4" s="1538" t="s">
        <v>16</v>
      </c>
      <c r="I4" s="78"/>
      <c r="J4" s="78"/>
      <c r="K4" s="78"/>
      <c r="L4" s="78"/>
    </row>
    <row r="5" spans="1:12" ht="29.25" customHeight="1" thickBot="1" x14ac:dyDescent="0.25">
      <c r="A5" s="144"/>
      <c r="B5" s="145"/>
      <c r="C5" s="1541"/>
      <c r="D5" s="1547"/>
      <c r="E5" s="1543"/>
      <c r="F5" s="1549"/>
      <c r="G5" s="1549"/>
      <c r="H5" s="1539"/>
      <c r="I5" s="78"/>
      <c r="J5" s="78"/>
      <c r="K5" s="78"/>
      <c r="L5" s="78"/>
    </row>
    <row r="6" spans="1:12" s="9" customFormat="1" ht="18" customHeight="1" thickBot="1" x14ac:dyDescent="0.25">
      <c r="A6" s="742" t="s">
        <v>82</v>
      </c>
      <c r="B6" s="743"/>
      <c r="C6" s="744"/>
      <c r="D6" s="1544" t="s">
        <v>69</v>
      </c>
      <c r="E6" s="1544"/>
      <c r="F6" s="1544"/>
      <c r="G6" s="1544"/>
      <c r="H6" s="1545"/>
      <c r="I6" s="79"/>
      <c r="J6" s="79"/>
      <c r="K6" s="79"/>
      <c r="L6" s="79"/>
    </row>
    <row r="7" spans="1:12" ht="12.75" customHeight="1" thickBot="1" x14ac:dyDescent="0.25">
      <c r="A7" s="1434" t="s">
        <v>81</v>
      </c>
      <c r="B7" s="1435"/>
      <c r="C7" s="1435"/>
      <c r="D7" s="1435"/>
      <c r="E7" s="1435"/>
      <c r="F7" s="1435"/>
      <c r="G7" s="1435"/>
      <c r="H7" s="1436"/>
      <c r="I7" s="78"/>
      <c r="J7" s="78"/>
      <c r="K7" s="78"/>
      <c r="L7" s="78"/>
    </row>
    <row r="8" spans="1:12" ht="15" customHeight="1" x14ac:dyDescent="0.2">
      <c r="A8" s="1550" t="s">
        <v>105</v>
      </c>
      <c r="B8" s="1550"/>
      <c r="C8" s="1550"/>
      <c r="D8" s="1550"/>
      <c r="E8" s="1491"/>
      <c r="F8" s="166"/>
      <c r="G8" s="166"/>
      <c r="H8" s="168"/>
      <c r="I8" s="78"/>
      <c r="J8" s="78"/>
      <c r="K8" s="78"/>
      <c r="L8" s="78"/>
    </row>
    <row r="9" spans="1:12" ht="15" customHeight="1" x14ac:dyDescent="0.2">
      <c r="A9" s="1492"/>
      <c r="B9" s="1492"/>
      <c r="C9" s="1492"/>
      <c r="D9" s="1493"/>
      <c r="E9" s="703" t="s">
        <v>302</v>
      </c>
      <c r="F9" s="167">
        <f>F13+F17</f>
        <v>11965081</v>
      </c>
      <c r="G9" s="167">
        <f>G13+G17</f>
        <v>0</v>
      </c>
      <c r="H9" s="168">
        <f>SUM(F9:G9)</f>
        <v>11965081</v>
      </c>
      <c r="I9" s="78"/>
      <c r="J9" s="78"/>
      <c r="K9" s="78"/>
      <c r="L9" s="78"/>
    </row>
    <row r="10" spans="1:12" ht="15" customHeight="1" x14ac:dyDescent="0.2">
      <c r="A10" s="1495"/>
      <c r="B10" s="1495"/>
      <c r="C10" s="1495"/>
      <c r="D10" s="1496"/>
      <c r="E10" s="703" t="s">
        <v>303</v>
      </c>
      <c r="F10" s="167">
        <f t="shared" ref="F10:G11" si="0">F14+F18</f>
        <v>12270089</v>
      </c>
      <c r="G10" s="167">
        <f t="shared" si="0"/>
        <v>0</v>
      </c>
      <c r="H10" s="168">
        <f t="shared" ref="H10:H19" si="1">SUM(F10:G10)</f>
        <v>12270089</v>
      </c>
      <c r="I10" s="78"/>
      <c r="J10" s="78"/>
      <c r="K10" s="78"/>
      <c r="L10" s="78"/>
    </row>
    <row r="11" spans="1:12" ht="15" customHeight="1" x14ac:dyDescent="0.2">
      <c r="A11" s="1498"/>
      <c r="B11" s="1498"/>
      <c r="C11" s="1498"/>
      <c r="D11" s="1499"/>
      <c r="E11" s="702" t="s">
        <v>304</v>
      </c>
      <c r="F11" s="166">
        <f t="shared" si="0"/>
        <v>12218138</v>
      </c>
      <c r="G11" s="167">
        <f t="shared" si="0"/>
        <v>0</v>
      </c>
      <c r="H11" s="168">
        <f t="shared" si="1"/>
        <v>12218138</v>
      </c>
      <c r="I11" s="78"/>
      <c r="J11" s="78"/>
      <c r="K11" s="78"/>
      <c r="L11" s="78"/>
    </row>
    <row r="12" spans="1:12" ht="15" customHeight="1" x14ac:dyDescent="0.2">
      <c r="A12" s="1503"/>
      <c r="B12" s="1503"/>
      <c r="C12" s="1503"/>
      <c r="D12" s="1503" t="s">
        <v>54</v>
      </c>
      <c r="E12" s="187" t="s">
        <v>65</v>
      </c>
      <c r="F12" s="166"/>
      <c r="G12" s="166"/>
      <c r="H12" s="168"/>
      <c r="I12" s="78"/>
      <c r="J12" s="78"/>
      <c r="K12" s="78"/>
      <c r="L12" s="78"/>
    </row>
    <row r="13" spans="1:12" ht="15" customHeight="1" x14ac:dyDescent="0.2">
      <c r="A13" s="1503"/>
      <c r="B13" s="1503"/>
      <c r="C13" s="1503"/>
      <c r="D13" s="1503"/>
      <c r="E13" s="703" t="s">
        <v>302</v>
      </c>
      <c r="F13" s="166">
        <f>F25+F73+F121+F169+F217+F265+F313+F361</f>
        <v>8690766</v>
      </c>
      <c r="G13" s="166">
        <f>G25+G73+G121+G169+G217+G265+G313+G361</f>
        <v>0</v>
      </c>
      <c r="H13" s="168">
        <f t="shared" si="1"/>
        <v>8690766</v>
      </c>
      <c r="I13" s="78"/>
      <c r="J13" s="78"/>
      <c r="K13" s="78"/>
      <c r="L13" s="78"/>
    </row>
    <row r="14" spans="1:12" ht="15" customHeight="1" x14ac:dyDescent="0.2">
      <c r="A14" s="1503"/>
      <c r="B14" s="1503"/>
      <c r="C14" s="1503"/>
      <c r="D14" s="1503"/>
      <c r="E14" s="703" t="s">
        <v>303</v>
      </c>
      <c r="F14" s="166">
        <f t="shared" ref="F14:G19" si="2">F26+F74+F122+F170+F218+F266+F314+F362</f>
        <v>8995774</v>
      </c>
      <c r="G14" s="166">
        <f t="shared" si="2"/>
        <v>0</v>
      </c>
      <c r="H14" s="168">
        <f t="shared" si="1"/>
        <v>8995774</v>
      </c>
      <c r="I14" s="78"/>
      <c r="J14" s="78"/>
      <c r="K14" s="78"/>
      <c r="L14" s="78"/>
    </row>
    <row r="15" spans="1:12" ht="15" customHeight="1" x14ac:dyDescent="0.2">
      <c r="A15" s="1503"/>
      <c r="B15" s="1503"/>
      <c r="C15" s="1503"/>
      <c r="D15" s="1503"/>
      <c r="E15" s="703" t="s">
        <v>304</v>
      </c>
      <c r="F15" s="166">
        <f t="shared" si="2"/>
        <v>9735766</v>
      </c>
      <c r="G15" s="166">
        <f t="shared" si="2"/>
        <v>0</v>
      </c>
      <c r="H15" s="168">
        <f t="shared" si="1"/>
        <v>9735766</v>
      </c>
      <c r="I15" s="78"/>
      <c r="J15" s="78"/>
      <c r="K15" s="78"/>
      <c r="L15" s="78"/>
    </row>
    <row r="16" spans="1:12" ht="15" customHeight="1" x14ac:dyDescent="0.2">
      <c r="A16" s="1503"/>
      <c r="B16" s="1503"/>
      <c r="C16" s="1503"/>
      <c r="D16" s="1503" t="s">
        <v>55</v>
      </c>
      <c r="E16" s="706" t="s">
        <v>66</v>
      </c>
      <c r="F16" s="166">
        <f t="shared" si="2"/>
        <v>0</v>
      </c>
      <c r="G16" s="166">
        <f t="shared" si="2"/>
        <v>0</v>
      </c>
      <c r="H16" s="168"/>
      <c r="I16" s="78"/>
      <c r="J16" s="78"/>
      <c r="K16" s="78"/>
      <c r="L16" s="78"/>
    </row>
    <row r="17" spans="1:12" ht="15" customHeight="1" x14ac:dyDescent="0.2">
      <c r="A17" s="1503"/>
      <c r="B17" s="1503"/>
      <c r="C17" s="1503"/>
      <c r="D17" s="1503"/>
      <c r="E17" s="703" t="s">
        <v>302</v>
      </c>
      <c r="F17" s="166">
        <f t="shared" si="2"/>
        <v>3274315</v>
      </c>
      <c r="G17" s="166">
        <f t="shared" si="2"/>
        <v>0</v>
      </c>
      <c r="H17" s="168">
        <f t="shared" si="1"/>
        <v>3274315</v>
      </c>
      <c r="I17" s="78"/>
      <c r="J17" s="78"/>
      <c r="K17" s="78"/>
      <c r="L17" s="78"/>
    </row>
    <row r="18" spans="1:12" ht="15" customHeight="1" x14ac:dyDescent="0.2">
      <c r="A18" s="1503"/>
      <c r="B18" s="1503"/>
      <c r="C18" s="1503"/>
      <c r="D18" s="1503"/>
      <c r="E18" s="703" t="s">
        <v>303</v>
      </c>
      <c r="F18" s="166">
        <f t="shared" si="2"/>
        <v>3274315</v>
      </c>
      <c r="G18" s="166">
        <f t="shared" si="2"/>
        <v>0</v>
      </c>
      <c r="H18" s="168">
        <f t="shared" si="1"/>
        <v>3274315</v>
      </c>
      <c r="I18" s="78"/>
      <c r="J18" s="78"/>
      <c r="K18" s="78"/>
      <c r="L18" s="78"/>
    </row>
    <row r="19" spans="1:12" ht="15" customHeight="1" x14ac:dyDescent="0.2">
      <c r="A19" s="1503"/>
      <c r="B19" s="1503"/>
      <c r="C19" s="1503"/>
      <c r="D19" s="1503"/>
      <c r="E19" s="703" t="s">
        <v>304</v>
      </c>
      <c r="F19" s="166">
        <f t="shared" si="2"/>
        <v>2482372</v>
      </c>
      <c r="G19" s="166">
        <f t="shared" si="2"/>
        <v>0</v>
      </c>
      <c r="H19" s="168">
        <f t="shared" si="1"/>
        <v>2482372</v>
      </c>
      <c r="I19" s="78"/>
      <c r="J19" s="78"/>
      <c r="K19" s="78"/>
      <c r="L19" s="78"/>
    </row>
    <row r="20" spans="1:12" s="27" customFormat="1" ht="15" customHeight="1" x14ac:dyDescent="0.2">
      <c r="A20" s="1450">
        <v>1</v>
      </c>
      <c r="B20" s="1450"/>
      <c r="C20" s="1504" t="s">
        <v>141</v>
      </c>
      <c r="D20" s="1504"/>
      <c r="E20" s="733" t="s">
        <v>157</v>
      </c>
      <c r="F20" s="720"/>
      <c r="G20" s="720"/>
      <c r="H20" s="720"/>
      <c r="I20" s="80"/>
      <c r="J20" s="80"/>
      <c r="K20" s="80"/>
      <c r="L20" s="80"/>
    </row>
    <row r="21" spans="1:12" s="27" customFormat="1" ht="15" customHeight="1" x14ac:dyDescent="0.2">
      <c r="A21" s="1450"/>
      <c r="B21" s="1450"/>
      <c r="C21" s="1504"/>
      <c r="D21" s="1504"/>
      <c r="E21" s="712" t="s">
        <v>302</v>
      </c>
      <c r="F21" s="720">
        <f>F25+F29</f>
        <v>0</v>
      </c>
      <c r="G21" s="720">
        <f>G25+G29</f>
        <v>0</v>
      </c>
      <c r="H21" s="720">
        <f>SUM(F21:G21)</f>
        <v>0</v>
      </c>
      <c r="I21" s="80"/>
      <c r="J21" s="80"/>
      <c r="K21" s="80"/>
      <c r="L21" s="80"/>
    </row>
    <row r="22" spans="1:12" s="27" customFormat="1" ht="15" customHeight="1" x14ac:dyDescent="0.2">
      <c r="A22" s="1450"/>
      <c r="B22" s="1450"/>
      <c r="C22" s="1504"/>
      <c r="D22" s="1504"/>
      <c r="E22" s="712" t="s">
        <v>303</v>
      </c>
      <c r="F22" s="720">
        <f t="shared" ref="F22:G23" si="3">F26+F30</f>
        <v>0</v>
      </c>
      <c r="G22" s="720">
        <f t="shared" si="3"/>
        <v>0</v>
      </c>
      <c r="H22" s="720">
        <f t="shared" ref="H22:H31" si="4">SUM(F22:G22)</f>
        <v>0</v>
      </c>
      <c r="I22" s="80"/>
      <c r="J22" s="80"/>
      <c r="K22" s="80"/>
      <c r="L22" s="80"/>
    </row>
    <row r="23" spans="1:12" s="27" customFormat="1" ht="15" customHeight="1" x14ac:dyDescent="0.2">
      <c r="A23" s="1450"/>
      <c r="B23" s="1450"/>
      <c r="C23" s="1504"/>
      <c r="D23" s="1504"/>
      <c r="E23" s="712" t="s">
        <v>304</v>
      </c>
      <c r="F23" s="720">
        <f t="shared" si="3"/>
        <v>0</v>
      </c>
      <c r="G23" s="720">
        <f t="shared" si="3"/>
        <v>0</v>
      </c>
      <c r="H23" s="720">
        <f t="shared" si="4"/>
        <v>0</v>
      </c>
      <c r="I23" s="80"/>
      <c r="J23" s="80"/>
      <c r="K23" s="80"/>
      <c r="L23" s="80"/>
    </row>
    <row r="24" spans="1:12" s="27" customFormat="1" ht="15" customHeight="1" x14ac:dyDescent="0.2">
      <c r="A24" s="1450"/>
      <c r="B24" s="1450"/>
      <c r="C24" s="1504"/>
      <c r="D24" s="1504"/>
      <c r="E24" s="734" t="s">
        <v>65</v>
      </c>
      <c r="F24" s="720"/>
      <c r="G24" s="720"/>
      <c r="H24" s="720"/>
      <c r="I24" s="80"/>
      <c r="J24" s="80"/>
      <c r="K24" s="80"/>
      <c r="L24" s="80"/>
    </row>
    <row r="25" spans="1:12" s="27" customFormat="1" ht="15" customHeight="1" x14ac:dyDescent="0.2">
      <c r="A25" s="1450"/>
      <c r="B25" s="1450"/>
      <c r="C25" s="1504"/>
      <c r="D25" s="1504"/>
      <c r="E25" s="712" t="s">
        <v>302</v>
      </c>
      <c r="F25" s="720">
        <f t="shared" ref="F25:G27" si="5">F37+F49+F61</f>
        <v>0</v>
      </c>
      <c r="G25" s="720">
        <f t="shared" si="5"/>
        <v>0</v>
      </c>
      <c r="H25" s="720">
        <f t="shared" si="4"/>
        <v>0</v>
      </c>
      <c r="I25" s="80"/>
      <c r="J25" s="80"/>
      <c r="K25" s="80"/>
      <c r="L25" s="80"/>
    </row>
    <row r="26" spans="1:12" s="27" customFormat="1" ht="15" customHeight="1" x14ac:dyDescent="0.2">
      <c r="A26" s="1450"/>
      <c r="B26" s="1450"/>
      <c r="C26" s="1504"/>
      <c r="D26" s="1504"/>
      <c r="E26" s="712" t="s">
        <v>303</v>
      </c>
      <c r="F26" s="720">
        <f t="shared" si="5"/>
        <v>0</v>
      </c>
      <c r="G26" s="720">
        <f t="shared" si="5"/>
        <v>0</v>
      </c>
      <c r="H26" s="720">
        <f t="shared" si="4"/>
        <v>0</v>
      </c>
      <c r="I26" s="80"/>
      <c r="J26" s="80"/>
      <c r="K26" s="80"/>
      <c r="L26" s="80"/>
    </row>
    <row r="27" spans="1:12" s="27" customFormat="1" ht="15" customHeight="1" x14ac:dyDescent="0.2">
      <c r="A27" s="1450"/>
      <c r="B27" s="1450"/>
      <c r="C27" s="1504"/>
      <c r="D27" s="1504"/>
      <c r="E27" s="712" t="s">
        <v>304</v>
      </c>
      <c r="F27" s="720">
        <f t="shared" si="5"/>
        <v>0</v>
      </c>
      <c r="G27" s="720">
        <f t="shared" si="5"/>
        <v>0</v>
      </c>
      <c r="H27" s="720">
        <f t="shared" si="4"/>
        <v>0</v>
      </c>
      <c r="I27" s="80"/>
      <c r="J27" s="80"/>
      <c r="K27" s="80"/>
      <c r="L27" s="80"/>
    </row>
    <row r="28" spans="1:12" s="27" customFormat="1" ht="15" customHeight="1" x14ac:dyDescent="0.2">
      <c r="A28" s="1450"/>
      <c r="B28" s="1450"/>
      <c r="C28" s="1504"/>
      <c r="D28" s="1504"/>
      <c r="E28" s="735" t="s">
        <v>66</v>
      </c>
      <c r="F28" s="720"/>
      <c r="G28" s="720"/>
      <c r="H28" s="720"/>
      <c r="I28" s="80"/>
      <c r="J28" s="80"/>
      <c r="K28" s="80"/>
      <c r="L28" s="80"/>
    </row>
    <row r="29" spans="1:12" s="27" customFormat="1" ht="15" customHeight="1" x14ac:dyDescent="0.2">
      <c r="A29" s="1450"/>
      <c r="B29" s="1450"/>
      <c r="C29" s="1504"/>
      <c r="D29" s="1504"/>
      <c r="E29" s="712" t="s">
        <v>302</v>
      </c>
      <c r="F29" s="720">
        <f>F41+F53+F64</f>
        <v>0</v>
      </c>
      <c r="G29" s="720">
        <f>G41+G53+G64</f>
        <v>0</v>
      </c>
      <c r="H29" s="720">
        <f t="shared" si="4"/>
        <v>0</v>
      </c>
      <c r="I29" s="80"/>
      <c r="J29" s="80"/>
      <c r="K29" s="80"/>
      <c r="L29" s="80"/>
    </row>
    <row r="30" spans="1:12" s="27" customFormat="1" ht="15" customHeight="1" x14ac:dyDescent="0.2">
      <c r="A30" s="1450"/>
      <c r="B30" s="1450"/>
      <c r="C30" s="1504"/>
      <c r="D30" s="1504"/>
      <c r="E30" s="712" t="s">
        <v>303</v>
      </c>
      <c r="F30" s="720">
        <f t="shared" ref="F30:G31" si="6">F42+F54+F65</f>
        <v>0</v>
      </c>
      <c r="G30" s="720">
        <f t="shared" si="6"/>
        <v>0</v>
      </c>
      <c r="H30" s="720">
        <f t="shared" si="4"/>
        <v>0</v>
      </c>
      <c r="I30" s="80"/>
      <c r="J30" s="80"/>
      <c r="K30" s="80"/>
      <c r="L30" s="80"/>
    </row>
    <row r="31" spans="1:12" s="27" customFormat="1" ht="15" customHeight="1" x14ac:dyDescent="0.2">
      <c r="A31" s="1450"/>
      <c r="B31" s="1450"/>
      <c r="C31" s="1504"/>
      <c r="D31" s="1504"/>
      <c r="E31" s="712" t="s">
        <v>304</v>
      </c>
      <c r="F31" s="720">
        <f>F43+F55+F66</f>
        <v>0</v>
      </c>
      <c r="G31" s="720">
        <f t="shared" si="6"/>
        <v>0</v>
      </c>
      <c r="H31" s="720">
        <f t="shared" si="4"/>
        <v>0</v>
      </c>
      <c r="I31" s="80"/>
      <c r="J31" s="80"/>
      <c r="K31" s="80"/>
      <c r="L31" s="80"/>
    </row>
    <row r="32" spans="1:12" s="27" customFormat="1" ht="15" customHeight="1" x14ac:dyDescent="0.2">
      <c r="A32" s="1511"/>
      <c r="B32" s="1512"/>
      <c r="C32" s="1513"/>
      <c r="D32" s="1520"/>
      <c r="E32" s="494" t="s">
        <v>211</v>
      </c>
      <c r="F32" s="721"/>
      <c r="G32" s="721"/>
      <c r="H32" s="721"/>
      <c r="I32" s="80"/>
      <c r="J32" s="80"/>
      <c r="K32" s="80"/>
      <c r="L32" s="80"/>
    </row>
    <row r="33" spans="1:12" s="27" customFormat="1" ht="15" customHeight="1" x14ac:dyDescent="0.2">
      <c r="A33" s="1514"/>
      <c r="B33" s="1515"/>
      <c r="C33" s="1516"/>
      <c r="D33" s="1520"/>
      <c r="E33" s="713" t="s">
        <v>302</v>
      </c>
      <c r="F33" s="721"/>
      <c r="G33" s="721"/>
      <c r="H33" s="721">
        <f>F33+G33</f>
        <v>0</v>
      </c>
      <c r="I33" s="80"/>
      <c r="J33" s="80"/>
      <c r="K33" s="80"/>
      <c r="L33" s="80"/>
    </row>
    <row r="34" spans="1:12" s="27" customFormat="1" ht="15" customHeight="1" x14ac:dyDescent="0.2">
      <c r="A34" s="1514"/>
      <c r="B34" s="1515"/>
      <c r="C34" s="1516"/>
      <c r="D34" s="1520"/>
      <c r="E34" s="713" t="s">
        <v>303</v>
      </c>
      <c r="F34" s="721"/>
      <c r="G34" s="721"/>
      <c r="H34" s="721">
        <f t="shared" ref="H34:H67" si="7">F34+G34</f>
        <v>0</v>
      </c>
      <c r="I34" s="80"/>
      <c r="J34" s="80"/>
      <c r="K34" s="80"/>
      <c r="L34" s="80"/>
    </row>
    <row r="35" spans="1:12" s="27" customFormat="1" ht="15" customHeight="1" x14ac:dyDescent="0.2">
      <c r="A35" s="1514"/>
      <c r="B35" s="1515"/>
      <c r="C35" s="1516"/>
      <c r="D35" s="1520"/>
      <c r="E35" s="713" t="s">
        <v>304</v>
      </c>
      <c r="F35" s="721"/>
      <c r="G35" s="721"/>
      <c r="H35" s="721">
        <f t="shared" si="7"/>
        <v>0</v>
      </c>
      <c r="I35" s="80"/>
      <c r="J35" s="80"/>
      <c r="K35" s="80"/>
      <c r="L35" s="80"/>
    </row>
    <row r="36" spans="1:12" s="27" customFormat="1" ht="15" customHeight="1" x14ac:dyDescent="0.2">
      <c r="A36" s="1514"/>
      <c r="B36" s="1515"/>
      <c r="C36" s="1516"/>
      <c r="D36" s="1520" t="s">
        <v>54</v>
      </c>
      <c r="E36" s="169" t="s">
        <v>65</v>
      </c>
      <c r="F36" s="721"/>
      <c r="G36" s="721"/>
      <c r="H36" s="721">
        <f t="shared" si="7"/>
        <v>0</v>
      </c>
      <c r="I36" s="80"/>
      <c r="J36" s="80"/>
      <c r="K36" s="80"/>
      <c r="L36" s="80"/>
    </row>
    <row r="37" spans="1:12" s="27" customFormat="1" ht="15" customHeight="1" x14ac:dyDescent="0.2">
      <c r="A37" s="1514"/>
      <c r="B37" s="1515"/>
      <c r="C37" s="1516"/>
      <c r="D37" s="1520"/>
      <c r="E37" s="713" t="s">
        <v>302</v>
      </c>
      <c r="F37" s="721"/>
      <c r="G37" s="721"/>
      <c r="H37" s="721">
        <f t="shared" si="7"/>
        <v>0</v>
      </c>
      <c r="I37" s="80"/>
      <c r="J37" s="80"/>
      <c r="K37" s="80"/>
      <c r="L37" s="80"/>
    </row>
    <row r="38" spans="1:12" s="27" customFormat="1" ht="15" customHeight="1" x14ac:dyDescent="0.2">
      <c r="A38" s="1514"/>
      <c r="B38" s="1515"/>
      <c r="C38" s="1516"/>
      <c r="D38" s="1520"/>
      <c r="E38" s="713" t="s">
        <v>303</v>
      </c>
      <c r="F38" s="721"/>
      <c r="G38" s="721"/>
      <c r="H38" s="721">
        <f t="shared" si="7"/>
        <v>0</v>
      </c>
      <c r="I38" s="80"/>
      <c r="J38" s="80"/>
      <c r="K38" s="80"/>
      <c r="L38" s="80"/>
    </row>
    <row r="39" spans="1:12" s="27" customFormat="1" ht="15" customHeight="1" x14ac:dyDescent="0.2">
      <c r="A39" s="1514"/>
      <c r="B39" s="1515"/>
      <c r="C39" s="1516"/>
      <c r="D39" s="1520"/>
      <c r="E39" s="713" t="s">
        <v>304</v>
      </c>
      <c r="F39" s="721"/>
      <c r="G39" s="721"/>
      <c r="H39" s="721">
        <f t="shared" si="7"/>
        <v>0</v>
      </c>
      <c r="I39" s="80"/>
      <c r="J39" s="80"/>
      <c r="K39" s="80"/>
      <c r="L39" s="80"/>
    </row>
    <row r="40" spans="1:12" s="27" customFormat="1" ht="15" customHeight="1" x14ac:dyDescent="0.2">
      <c r="A40" s="1514"/>
      <c r="B40" s="1515"/>
      <c r="C40" s="1516"/>
      <c r="D40" s="1520" t="s">
        <v>55</v>
      </c>
      <c r="E40" s="170" t="s">
        <v>66</v>
      </c>
      <c r="F40" s="721"/>
      <c r="G40" s="721"/>
      <c r="H40" s="721">
        <f t="shared" si="7"/>
        <v>0</v>
      </c>
      <c r="I40" s="80"/>
      <c r="J40" s="80"/>
      <c r="K40" s="80"/>
      <c r="L40" s="80"/>
    </row>
    <row r="41" spans="1:12" s="27" customFormat="1" ht="15" customHeight="1" x14ac:dyDescent="0.2">
      <c r="A41" s="1514"/>
      <c r="B41" s="1515"/>
      <c r="C41" s="1516"/>
      <c r="D41" s="1520"/>
      <c r="E41" s="713" t="s">
        <v>302</v>
      </c>
      <c r="F41" s="721"/>
      <c r="G41" s="721"/>
      <c r="H41" s="721">
        <f t="shared" si="7"/>
        <v>0</v>
      </c>
      <c r="I41" s="80"/>
      <c r="J41" s="80"/>
      <c r="K41" s="80"/>
      <c r="L41" s="80"/>
    </row>
    <row r="42" spans="1:12" s="27" customFormat="1" ht="15" customHeight="1" x14ac:dyDescent="0.2">
      <c r="A42" s="1514"/>
      <c r="B42" s="1515"/>
      <c r="C42" s="1516"/>
      <c r="D42" s="1520"/>
      <c r="E42" s="713" t="s">
        <v>303</v>
      </c>
      <c r="F42" s="721"/>
      <c r="G42" s="721"/>
      <c r="H42" s="721">
        <f t="shared" si="7"/>
        <v>0</v>
      </c>
      <c r="I42" s="80"/>
      <c r="J42" s="80"/>
      <c r="K42" s="80"/>
      <c r="L42" s="80"/>
    </row>
    <row r="43" spans="1:12" s="27" customFormat="1" ht="15" customHeight="1" x14ac:dyDescent="0.2">
      <c r="A43" s="1514"/>
      <c r="B43" s="1515"/>
      <c r="C43" s="1516"/>
      <c r="D43" s="1520"/>
      <c r="E43" s="713" t="s">
        <v>304</v>
      </c>
      <c r="F43" s="721"/>
      <c r="G43" s="721"/>
      <c r="H43" s="721">
        <f t="shared" si="7"/>
        <v>0</v>
      </c>
      <c r="I43" s="80"/>
      <c r="J43" s="80"/>
      <c r="K43" s="80"/>
      <c r="L43" s="80"/>
    </row>
    <row r="44" spans="1:12" s="27" customFormat="1" ht="15" customHeight="1" x14ac:dyDescent="0.2">
      <c r="A44" s="1514"/>
      <c r="B44" s="1515"/>
      <c r="C44" s="1516"/>
      <c r="D44" s="1520"/>
      <c r="E44" s="493" t="s">
        <v>191</v>
      </c>
      <c r="F44" s="721"/>
      <c r="G44" s="721"/>
      <c r="H44" s="721"/>
      <c r="I44" s="80"/>
      <c r="J44" s="80"/>
      <c r="K44" s="80"/>
      <c r="L44" s="80"/>
    </row>
    <row r="45" spans="1:12" s="27" customFormat="1" ht="15" customHeight="1" x14ac:dyDescent="0.2">
      <c r="A45" s="1514"/>
      <c r="B45" s="1515"/>
      <c r="C45" s="1516"/>
      <c r="D45" s="1520"/>
      <c r="E45" s="713" t="s">
        <v>302</v>
      </c>
      <c r="F45" s="721"/>
      <c r="G45" s="721"/>
      <c r="H45" s="721">
        <f t="shared" si="7"/>
        <v>0</v>
      </c>
      <c r="I45" s="80"/>
      <c r="J45" s="80"/>
      <c r="K45" s="80"/>
      <c r="L45" s="80"/>
    </row>
    <row r="46" spans="1:12" s="27" customFormat="1" ht="15" customHeight="1" x14ac:dyDescent="0.2">
      <c r="A46" s="1514"/>
      <c r="B46" s="1515"/>
      <c r="C46" s="1516"/>
      <c r="D46" s="1520"/>
      <c r="E46" s="713" t="s">
        <v>303</v>
      </c>
      <c r="F46" s="721"/>
      <c r="G46" s="721"/>
      <c r="H46" s="721">
        <f t="shared" si="7"/>
        <v>0</v>
      </c>
      <c r="I46" s="80"/>
      <c r="J46" s="80"/>
      <c r="K46" s="80"/>
      <c r="L46" s="80"/>
    </row>
    <row r="47" spans="1:12" s="27" customFormat="1" ht="15" customHeight="1" x14ac:dyDescent="0.2">
      <c r="A47" s="1514"/>
      <c r="B47" s="1515"/>
      <c r="C47" s="1516"/>
      <c r="D47" s="1520"/>
      <c r="E47" s="713" t="s">
        <v>304</v>
      </c>
      <c r="F47" s="721"/>
      <c r="G47" s="721"/>
      <c r="H47" s="721">
        <f t="shared" si="7"/>
        <v>0</v>
      </c>
      <c r="I47" s="80"/>
      <c r="J47" s="80"/>
      <c r="K47" s="80"/>
      <c r="L47" s="80"/>
    </row>
    <row r="48" spans="1:12" s="27" customFormat="1" ht="15" customHeight="1" x14ac:dyDescent="0.2">
      <c r="A48" s="1514"/>
      <c r="B48" s="1515"/>
      <c r="C48" s="1516"/>
      <c r="D48" s="1520" t="s">
        <v>54</v>
      </c>
      <c r="E48" s="171" t="s">
        <v>65</v>
      </c>
      <c r="F48" s="721"/>
      <c r="G48" s="721"/>
      <c r="H48" s="721">
        <f t="shared" si="7"/>
        <v>0</v>
      </c>
      <c r="I48" s="80"/>
      <c r="J48" s="80"/>
      <c r="K48" s="80"/>
      <c r="L48" s="80"/>
    </row>
    <row r="49" spans="1:12" s="27" customFormat="1" ht="15" customHeight="1" x14ac:dyDescent="0.2">
      <c r="A49" s="1514"/>
      <c r="B49" s="1515"/>
      <c r="C49" s="1516"/>
      <c r="D49" s="1520"/>
      <c r="E49" s="713" t="s">
        <v>302</v>
      </c>
      <c r="F49" s="721"/>
      <c r="G49" s="721"/>
      <c r="H49" s="721">
        <f t="shared" si="7"/>
        <v>0</v>
      </c>
      <c r="I49" s="80"/>
      <c r="J49" s="80"/>
      <c r="K49" s="80"/>
      <c r="L49" s="80"/>
    </row>
    <row r="50" spans="1:12" s="27" customFormat="1" ht="15" customHeight="1" x14ac:dyDescent="0.2">
      <c r="A50" s="1514"/>
      <c r="B50" s="1515"/>
      <c r="C50" s="1516"/>
      <c r="D50" s="1520"/>
      <c r="E50" s="713" t="s">
        <v>303</v>
      </c>
      <c r="F50" s="721"/>
      <c r="G50" s="721"/>
      <c r="H50" s="721">
        <f t="shared" si="7"/>
        <v>0</v>
      </c>
      <c r="I50" s="80"/>
      <c r="J50" s="80"/>
      <c r="K50" s="80"/>
      <c r="L50" s="80"/>
    </row>
    <row r="51" spans="1:12" s="27" customFormat="1" ht="15" customHeight="1" x14ac:dyDescent="0.2">
      <c r="A51" s="1514"/>
      <c r="B51" s="1515"/>
      <c r="C51" s="1516"/>
      <c r="D51" s="1520"/>
      <c r="E51" s="713" t="s">
        <v>304</v>
      </c>
      <c r="F51" s="721"/>
      <c r="G51" s="721"/>
      <c r="H51" s="721">
        <f t="shared" si="7"/>
        <v>0</v>
      </c>
      <c r="I51" s="80"/>
      <c r="J51" s="80"/>
      <c r="K51" s="80"/>
      <c r="L51" s="80"/>
    </row>
    <row r="52" spans="1:12" s="27" customFormat="1" ht="15" customHeight="1" x14ac:dyDescent="0.2">
      <c r="A52" s="1514"/>
      <c r="B52" s="1515"/>
      <c r="C52" s="1516"/>
      <c r="D52" s="1520" t="s">
        <v>55</v>
      </c>
      <c r="E52" s="170" t="s">
        <v>66</v>
      </c>
      <c r="F52" s="721"/>
      <c r="G52" s="721"/>
      <c r="H52" s="721">
        <f t="shared" si="7"/>
        <v>0</v>
      </c>
      <c r="I52" s="80"/>
      <c r="J52" s="80"/>
      <c r="K52" s="80"/>
      <c r="L52" s="80"/>
    </row>
    <row r="53" spans="1:12" s="27" customFormat="1" ht="15" customHeight="1" x14ac:dyDescent="0.2">
      <c r="A53" s="1514"/>
      <c r="B53" s="1515"/>
      <c r="C53" s="1516"/>
      <c r="D53" s="1520"/>
      <c r="E53" s="713" t="s">
        <v>302</v>
      </c>
      <c r="F53" s="721"/>
      <c r="G53" s="721"/>
      <c r="H53" s="721">
        <f t="shared" si="7"/>
        <v>0</v>
      </c>
      <c r="I53" s="80"/>
      <c r="J53" s="80"/>
      <c r="K53" s="80"/>
      <c r="L53" s="80"/>
    </row>
    <row r="54" spans="1:12" s="27" customFormat="1" ht="15" customHeight="1" x14ac:dyDescent="0.2">
      <c r="A54" s="1514"/>
      <c r="B54" s="1515"/>
      <c r="C54" s="1516"/>
      <c r="D54" s="1520"/>
      <c r="E54" s="713" t="s">
        <v>303</v>
      </c>
      <c r="F54" s="721"/>
      <c r="G54" s="721"/>
      <c r="H54" s="721">
        <f t="shared" si="7"/>
        <v>0</v>
      </c>
      <c r="I54" s="80"/>
      <c r="J54" s="80"/>
      <c r="K54" s="80"/>
      <c r="L54" s="80"/>
    </row>
    <row r="55" spans="1:12" s="27" customFormat="1" ht="15" customHeight="1" x14ac:dyDescent="0.2">
      <c r="A55" s="1514"/>
      <c r="B55" s="1515"/>
      <c r="C55" s="1516"/>
      <c r="D55" s="1520"/>
      <c r="E55" s="713" t="s">
        <v>304</v>
      </c>
      <c r="F55" s="721"/>
      <c r="G55" s="721"/>
      <c r="H55" s="721">
        <f t="shared" si="7"/>
        <v>0</v>
      </c>
      <c r="I55" s="80"/>
      <c r="J55" s="80"/>
      <c r="K55" s="80"/>
      <c r="L55" s="80"/>
    </row>
    <row r="56" spans="1:12" s="27" customFormat="1" ht="15" customHeight="1" x14ac:dyDescent="0.2">
      <c r="A56" s="1514"/>
      <c r="B56" s="1515"/>
      <c r="C56" s="1516"/>
      <c r="D56" s="1520"/>
      <c r="E56" s="493" t="s">
        <v>192</v>
      </c>
      <c r="F56" s="721"/>
      <c r="G56" s="721"/>
      <c r="H56" s="721"/>
      <c r="I56" s="80"/>
      <c r="J56" s="80"/>
      <c r="K56" s="80"/>
      <c r="L56" s="80"/>
    </row>
    <row r="57" spans="1:12" s="27" customFormat="1" ht="15" customHeight="1" x14ac:dyDescent="0.2">
      <c r="A57" s="1514"/>
      <c r="B57" s="1515"/>
      <c r="C57" s="1516"/>
      <c r="D57" s="1520"/>
      <c r="E57" s="713" t="s">
        <v>302</v>
      </c>
      <c r="F57" s="721"/>
      <c r="G57" s="721"/>
      <c r="H57" s="721">
        <f t="shared" si="7"/>
        <v>0</v>
      </c>
      <c r="I57" s="80"/>
      <c r="J57" s="80"/>
      <c r="K57" s="80"/>
      <c r="L57" s="80"/>
    </row>
    <row r="58" spans="1:12" s="27" customFormat="1" ht="15" customHeight="1" x14ac:dyDescent="0.2">
      <c r="A58" s="1514"/>
      <c r="B58" s="1515"/>
      <c r="C58" s="1516"/>
      <c r="D58" s="1520"/>
      <c r="E58" s="713" t="s">
        <v>303</v>
      </c>
      <c r="F58" s="721"/>
      <c r="G58" s="721"/>
      <c r="H58" s="721">
        <f t="shared" si="7"/>
        <v>0</v>
      </c>
      <c r="I58" s="80"/>
      <c r="J58" s="80"/>
      <c r="K58" s="80"/>
      <c r="L58" s="80"/>
    </row>
    <row r="59" spans="1:12" s="27" customFormat="1" ht="15" customHeight="1" x14ac:dyDescent="0.2">
      <c r="A59" s="1514"/>
      <c r="B59" s="1515"/>
      <c r="C59" s="1516"/>
      <c r="D59" s="1520"/>
      <c r="E59" s="713" t="s">
        <v>304</v>
      </c>
      <c r="F59" s="721"/>
      <c r="G59" s="721"/>
      <c r="H59" s="721">
        <f t="shared" si="7"/>
        <v>0</v>
      </c>
      <c r="I59" s="80"/>
      <c r="J59" s="80"/>
      <c r="K59" s="80"/>
      <c r="L59" s="80"/>
    </row>
    <row r="60" spans="1:12" s="27" customFormat="1" ht="15" customHeight="1" x14ac:dyDescent="0.2">
      <c r="A60" s="1514"/>
      <c r="B60" s="1515"/>
      <c r="C60" s="1516"/>
      <c r="D60" s="1520" t="s">
        <v>54</v>
      </c>
      <c r="E60" s="171" t="s">
        <v>65</v>
      </c>
      <c r="F60" s="721"/>
      <c r="G60" s="721"/>
      <c r="H60" s="721">
        <f t="shared" si="7"/>
        <v>0</v>
      </c>
      <c r="I60" s="80"/>
      <c r="J60" s="80"/>
      <c r="K60" s="80"/>
      <c r="L60" s="80"/>
    </row>
    <row r="61" spans="1:12" s="27" customFormat="1" ht="15" customHeight="1" x14ac:dyDescent="0.2">
      <c r="A61" s="1514"/>
      <c r="B61" s="1515"/>
      <c r="C61" s="1516"/>
      <c r="D61" s="1520"/>
      <c r="E61" s="713" t="s">
        <v>302</v>
      </c>
      <c r="F61" s="721"/>
      <c r="G61" s="721"/>
      <c r="H61" s="721">
        <f t="shared" si="7"/>
        <v>0</v>
      </c>
      <c r="I61" s="80"/>
      <c r="J61" s="80"/>
      <c r="K61" s="80"/>
      <c r="L61" s="80"/>
    </row>
    <row r="62" spans="1:12" s="27" customFormat="1" ht="15" customHeight="1" x14ac:dyDescent="0.2">
      <c r="A62" s="1514"/>
      <c r="B62" s="1515"/>
      <c r="C62" s="1516"/>
      <c r="D62" s="1520"/>
      <c r="E62" s="713" t="s">
        <v>303</v>
      </c>
      <c r="F62" s="721"/>
      <c r="G62" s="721"/>
      <c r="H62" s="721">
        <f t="shared" si="7"/>
        <v>0</v>
      </c>
      <c r="I62" s="80"/>
      <c r="J62" s="80"/>
      <c r="K62" s="80"/>
      <c r="L62" s="80"/>
    </row>
    <row r="63" spans="1:12" s="27" customFormat="1" ht="15" customHeight="1" x14ac:dyDescent="0.2">
      <c r="A63" s="1514"/>
      <c r="B63" s="1515"/>
      <c r="C63" s="1516"/>
      <c r="D63" s="1520"/>
      <c r="E63" s="713" t="s">
        <v>304</v>
      </c>
      <c r="F63" s="721"/>
      <c r="G63" s="721"/>
      <c r="H63" s="721">
        <f t="shared" si="7"/>
        <v>0</v>
      </c>
      <c r="I63" s="80"/>
      <c r="J63" s="80"/>
      <c r="K63" s="80"/>
      <c r="L63" s="80"/>
    </row>
    <row r="64" spans="1:12" s="27" customFormat="1" ht="15" customHeight="1" x14ac:dyDescent="0.2">
      <c r="A64" s="1514"/>
      <c r="B64" s="1515"/>
      <c r="C64" s="1516"/>
      <c r="D64" s="1520" t="s">
        <v>55</v>
      </c>
      <c r="E64" s="172" t="s">
        <v>66</v>
      </c>
      <c r="F64" s="721"/>
      <c r="G64" s="721"/>
      <c r="H64" s="721">
        <f t="shared" si="7"/>
        <v>0</v>
      </c>
      <c r="I64" s="80"/>
      <c r="J64" s="80"/>
      <c r="K64" s="80"/>
      <c r="L64" s="80"/>
    </row>
    <row r="65" spans="1:12" s="27" customFormat="1" ht="15" customHeight="1" x14ac:dyDescent="0.2">
      <c r="A65" s="1514"/>
      <c r="B65" s="1515"/>
      <c r="C65" s="1516"/>
      <c r="D65" s="1520"/>
      <c r="E65" s="713" t="s">
        <v>302</v>
      </c>
      <c r="F65" s="721"/>
      <c r="G65" s="721"/>
      <c r="H65" s="721">
        <f t="shared" si="7"/>
        <v>0</v>
      </c>
      <c r="I65" s="80"/>
      <c r="J65" s="80"/>
      <c r="K65" s="80"/>
      <c r="L65" s="80"/>
    </row>
    <row r="66" spans="1:12" s="27" customFormat="1" ht="15" customHeight="1" x14ac:dyDescent="0.2">
      <c r="A66" s="1514"/>
      <c r="B66" s="1515"/>
      <c r="C66" s="1516"/>
      <c r="D66" s="1520"/>
      <c r="E66" s="713" t="s">
        <v>303</v>
      </c>
      <c r="F66" s="721"/>
      <c r="G66" s="721"/>
      <c r="H66" s="721">
        <f t="shared" si="7"/>
        <v>0</v>
      </c>
      <c r="I66" s="80"/>
      <c r="J66" s="80"/>
      <c r="K66" s="80"/>
      <c r="L66" s="80"/>
    </row>
    <row r="67" spans="1:12" s="27" customFormat="1" ht="15" customHeight="1" x14ac:dyDescent="0.2">
      <c r="A67" s="1517"/>
      <c r="B67" s="1518"/>
      <c r="C67" s="1519"/>
      <c r="D67" s="1520"/>
      <c r="E67" s="713" t="s">
        <v>304</v>
      </c>
      <c r="F67" s="721"/>
      <c r="G67" s="721"/>
      <c r="H67" s="721">
        <f t="shared" si="7"/>
        <v>0</v>
      </c>
      <c r="I67" s="80"/>
      <c r="J67" s="80"/>
      <c r="K67" s="80"/>
      <c r="L67" s="80"/>
    </row>
    <row r="68" spans="1:12" s="27" customFormat="1" ht="15" customHeight="1" x14ac:dyDescent="0.2">
      <c r="A68" s="1450">
        <v>2</v>
      </c>
      <c r="B68" s="1450"/>
      <c r="C68" s="1450" t="s">
        <v>109</v>
      </c>
      <c r="D68" s="1450"/>
      <c r="E68" s="736" t="s">
        <v>156</v>
      </c>
      <c r="F68" s="720"/>
      <c r="G68" s="720"/>
      <c r="H68" s="720"/>
      <c r="I68" s="80"/>
      <c r="J68" s="80"/>
      <c r="K68" s="80"/>
      <c r="L68" s="80"/>
    </row>
    <row r="69" spans="1:12" s="27" customFormat="1" ht="15" customHeight="1" x14ac:dyDescent="0.2">
      <c r="A69" s="1450"/>
      <c r="B69" s="1450"/>
      <c r="C69" s="1450"/>
      <c r="D69" s="1450"/>
      <c r="E69" s="712" t="s">
        <v>302</v>
      </c>
      <c r="F69" s="720">
        <f>F73+F77</f>
        <v>275938</v>
      </c>
      <c r="G69" s="720">
        <f>G73+G77</f>
        <v>0</v>
      </c>
      <c r="H69" s="720">
        <f>F69+G69</f>
        <v>275938</v>
      </c>
      <c r="I69" s="80"/>
      <c r="J69" s="80"/>
      <c r="K69" s="80"/>
      <c r="L69" s="80"/>
    </row>
    <row r="70" spans="1:12" s="27" customFormat="1" ht="15" customHeight="1" x14ac:dyDescent="0.2">
      <c r="A70" s="1450"/>
      <c r="B70" s="1450"/>
      <c r="C70" s="1450"/>
      <c r="D70" s="1450"/>
      <c r="E70" s="712" t="s">
        <v>303</v>
      </c>
      <c r="F70" s="720">
        <f t="shared" ref="F70:G71" si="8">F74+F78</f>
        <v>275938</v>
      </c>
      <c r="G70" s="720">
        <f t="shared" si="8"/>
        <v>0</v>
      </c>
      <c r="H70" s="720">
        <f t="shared" ref="H70:H79" si="9">F70+G70</f>
        <v>275938</v>
      </c>
      <c r="I70" s="80"/>
      <c r="J70" s="80"/>
      <c r="K70" s="80"/>
      <c r="L70" s="80"/>
    </row>
    <row r="71" spans="1:12" s="27" customFormat="1" ht="15" customHeight="1" x14ac:dyDescent="0.2">
      <c r="A71" s="1450"/>
      <c r="B71" s="1450"/>
      <c r="C71" s="1450"/>
      <c r="D71" s="1450"/>
      <c r="E71" s="712" t="s">
        <v>304</v>
      </c>
      <c r="F71" s="720">
        <f t="shared" si="8"/>
        <v>2061116</v>
      </c>
      <c r="G71" s="720">
        <f t="shared" si="8"/>
        <v>0</v>
      </c>
      <c r="H71" s="720">
        <f t="shared" si="9"/>
        <v>2061116</v>
      </c>
      <c r="I71" s="80"/>
      <c r="J71" s="80"/>
      <c r="K71" s="80"/>
      <c r="L71" s="80"/>
    </row>
    <row r="72" spans="1:12" s="27" customFormat="1" ht="15" customHeight="1" x14ac:dyDescent="0.2">
      <c r="A72" s="1450"/>
      <c r="B72" s="1450"/>
      <c r="C72" s="1450"/>
      <c r="D72" s="1450"/>
      <c r="E72" s="734" t="s">
        <v>65</v>
      </c>
      <c r="F72" s="720"/>
      <c r="G72" s="720"/>
      <c r="H72" s="720"/>
      <c r="I72" s="80"/>
      <c r="J72" s="80"/>
      <c r="K72" s="80"/>
      <c r="L72" s="80"/>
    </row>
    <row r="73" spans="1:12" s="27" customFormat="1" ht="15" customHeight="1" x14ac:dyDescent="0.2">
      <c r="A73" s="1450"/>
      <c r="B73" s="1450"/>
      <c r="C73" s="1450"/>
      <c r="D73" s="1450"/>
      <c r="E73" s="712" t="s">
        <v>302</v>
      </c>
      <c r="F73" s="720">
        <f>F85+F97+F109</f>
        <v>30000</v>
      </c>
      <c r="G73" s="720">
        <f>G85+G97+G109</f>
        <v>0</v>
      </c>
      <c r="H73" s="720">
        <f t="shared" si="9"/>
        <v>30000</v>
      </c>
      <c r="I73" s="80"/>
      <c r="J73" s="80"/>
      <c r="K73" s="80"/>
      <c r="L73" s="80"/>
    </row>
    <row r="74" spans="1:12" s="27" customFormat="1" ht="15" customHeight="1" x14ac:dyDescent="0.2">
      <c r="A74" s="1450"/>
      <c r="B74" s="1450"/>
      <c r="C74" s="1450"/>
      <c r="D74" s="1450"/>
      <c r="E74" s="712" t="s">
        <v>303</v>
      </c>
      <c r="F74" s="720">
        <f t="shared" ref="F74:G75" si="10">F86+F98+F110</f>
        <v>30000</v>
      </c>
      <c r="G74" s="720">
        <f t="shared" si="10"/>
        <v>0</v>
      </c>
      <c r="H74" s="720">
        <f t="shared" si="9"/>
        <v>30000</v>
      </c>
      <c r="I74" s="80"/>
      <c r="J74" s="80"/>
      <c r="K74" s="80"/>
      <c r="L74" s="80"/>
    </row>
    <row r="75" spans="1:12" s="27" customFormat="1" ht="15" customHeight="1" x14ac:dyDescent="0.2">
      <c r="A75" s="1450"/>
      <c r="B75" s="1450"/>
      <c r="C75" s="1450"/>
      <c r="D75" s="1450"/>
      <c r="E75" s="712" t="s">
        <v>304</v>
      </c>
      <c r="F75" s="720">
        <f>F87+F99+F111</f>
        <v>104622</v>
      </c>
      <c r="G75" s="720">
        <f t="shared" si="10"/>
        <v>0</v>
      </c>
      <c r="H75" s="720">
        <f t="shared" si="9"/>
        <v>104622</v>
      </c>
      <c r="I75" s="80"/>
      <c r="J75" s="80"/>
      <c r="K75" s="80"/>
      <c r="L75" s="80"/>
    </row>
    <row r="76" spans="1:12" s="27" customFormat="1" ht="15" customHeight="1" x14ac:dyDescent="0.2">
      <c r="A76" s="1450"/>
      <c r="B76" s="1450"/>
      <c r="C76" s="1450"/>
      <c r="D76" s="1450"/>
      <c r="E76" s="735" t="s">
        <v>66</v>
      </c>
      <c r="F76" s="720"/>
      <c r="G76" s="720"/>
      <c r="H76" s="720"/>
      <c r="I76" s="80"/>
      <c r="J76" s="80"/>
      <c r="K76" s="80"/>
      <c r="L76" s="80"/>
    </row>
    <row r="77" spans="1:12" s="27" customFormat="1" ht="15" customHeight="1" x14ac:dyDescent="0.2">
      <c r="A77" s="1450"/>
      <c r="B77" s="1450"/>
      <c r="C77" s="1450"/>
      <c r="D77" s="1450"/>
      <c r="E77" s="712" t="s">
        <v>302</v>
      </c>
      <c r="F77" s="720">
        <f>F89+F101+F113</f>
        <v>245938</v>
      </c>
      <c r="G77" s="720">
        <f>G89+G101+G113</f>
        <v>0</v>
      </c>
      <c r="H77" s="720">
        <f t="shared" si="9"/>
        <v>245938</v>
      </c>
      <c r="I77" s="80"/>
      <c r="J77" s="80"/>
      <c r="K77" s="80"/>
      <c r="L77" s="80"/>
    </row>
    <row r="78" spans="1:12" s="27" customFormat="1" ht="15" customHeight="1" x14ac:dyDescent="0.2">
      <c r="A78" s="1450"/>
      <c r="B78" s="1450"/>
      <c r="C78" s="1450"/>
      <c r="D78" s="1450"/>
      <c r="E78" s="712" t="s">
        <v>303</v>
      </c>
      <c r="F78" s="720">
        <f t="shared" ref="F78:G79" si="11">F90+F102+F114</f>
        <v>245938</v>
      </c>
      <c r="G78" s="720">
        <f t="shared" si="11"/>
        <v>0</v>
      </c>
      <c r="H78" s="720">
        <f t="shared" si="9"/>
        <v>245938</v>
      </c>
      <c r="I78" s="80"/>
      <c r="J78" s="80"/>
      <c r="K78" s="80"/>
      <c r="L78" s="80"/>
    </row>
    <row r="79" spans="1:12" s="27" customFormat="1" ht="15" customHeight="1" x14ac:dyDescent="0.2">
      <c r="A79" s="1450"/>
      <c r="B79" s="1450"/>
      <c r="C79" s="1450"/>
      <c r="D79" s="1450"/>
      <c r="E79" s="712" t="s">
        <v>304</v>
      </c>
      <c r="F79" s="720">
        <f>F91+F103+F115</f>
        <v>1956494</v>
      </c>
      <c r="G79" s="720">
        <f t="shared" si="11"/>
        <v>0</v>
      </c>
      <c r="H79" s="720">
        <f t="shared" si="9"/>
        <v>1956494</v>
      </c>
      <c r="I79" s="80"/>
      <c r="J79" s="80"/>
      <c r="K79" s="80"/>
      <c r="L79" s="80"/>
    </row>
    <row r="80" spans="1:12" s="27" customFormat="1" ht="15" customHeight="1" x14ac:dyDescent="0.2">
      <c r="A80" s="496"/>
      <c r="B80" s="492"/>
      <c r="C80" s="491"/>
      <c r="D80" s="492"/>
      <c r="E80" s="737" t="s">
        <v>211</v>
      </c>
      <c r="F80" s="721"/>
      <c r="G80" s="721"/>
      <c r="H80" s="721"/>
      <c r="I80" s="80"/>
      <c r="J80" s="80"/>
      <c r="K80" s="80"/>
      <c r="L80" s="80"/>
    </row>
    <row r="81" spans="1:12" s="27" customFormat="1" ht="15" customHeight="1" x14ac:dyDescent="0.2">
      <c r="A81" s="496"/>
      <c r="B81" s="492"/>
      <c r="C81" s="491"/>
      <c r="D81" s="492"/>
      <c r="E81" s="713" t="s">
        <v>302</v>
      </c>
      <c r="F81" s="721">
        <f>F85+F89</f>
        <v>30000</v>
      </c>
      <c r="G81" s="721">
        <f>G85+G89</f>
        <v>0</v>
      </c>
      <c r="H81" s="721">
        <f t="shared" ref="H81:H115" si="12">F81+G81</f>
        <v>30000</v>
      </c>
      <c r="I81" s="80"/>
      <c r="J81" s="80"/>
      <c r="K81" s="80"/>
      <c r="L81" s="80"/>
    </row>
    <row r="82" spans="1:12" s="27" customFormat="1" ht="15" customHeight="1" x14ac:dyDescent="0.2">
      <c r="A82" s="496"/>
      <c r="B82" s="492"/>
      <c r="C82" s="491"/>
      <c r="D82" s="492"/>
      <c r="E82" s="713" t="s">
        <v>303</v>
      </c>
      <c r="F82" s="721">
        <f t="shared" ref="F82:G83" si="13">F86+F90</f>
        <v>30000</v>
      </c>
      <c r="G82" s="721">
        <f t="shared" si="13"/>
        <v>0</v>
      </c>
      <c r="H82" s="721">
        <f t="shared" si="12"/>
        <v>30000</v>
      </c>
      <c r="I82" s="80"/>
      <c r="J82" s="80"/>
      <c r="K82" s="80"/>
      <c r="L82" s="80"/>
    </row>
    <row r="83" spans="1:12" s="27" customFormat="1" ht="15" customHeight="1" x14ac:dyDescent="0.2">
      <c r="A83" s="496"/>
      <c r="B83" s="492"/>
      <c r="C83" s="491"/>
      <c r="D83" s="492"/>
      <c r="E83" s="713" t="s">
        <v>304</v>
      </c>
      <c r="F83" s="721">
        <f t="shared" si="13"/>
        <v>43622</v>
      </c>
      <c r="G83" s="721">
        <f t="shared" si="13"/>
        <v>0</v>
      </c>
      <c r="H83" s="721">
        <f t="shared" si="12"/>
        <v>43622</v>
      </c>
      <c r="I83" s="80"/>
      <c r="J83" s="80"/>
      <c r="K83" s="80"/>
      <c r="L83" s="80"/>
    </row>
    <row r="84" spans="1:12" s="27" customFormat="1" ht="15" customHeight="1" x14ac:dyDescent="0.2">
      <c r="A84" s="496"/>
      <c r="B84" s="492"/>
      <c r="C84" s="491"/>
      <c r="D84" s="492"/>
      <c r="E84" s="117" t="s">
        <v>65</v>
      </c>
      <c r="F84" s="721"/>
      <c r="G84" s="721"/>
      <c r="H84" s="721">
        <f t="shared" si="12"/>
        <v>0</v>
      </c>
      <c r="I84" s="80"/>
      <c r="J84" s="80"/>
      <c r="K84" s="80"/>
      <c r="L84" s="80"/>
    </row>
    <row r="85" spans="1:12" s="27" customFormat="1" ht="15" customHeight="1" x14ac:dyDescent="0.2">
      <c r="A85" s="496"/>
      <c r="B85" s="492"/>
      <c r="C85" s="491"/>
      <c r="D85" s="492"/>
      <c r="E85" s="713" t="s">
        <v>302</v>
      </c>
      <c r="F85" s="721">
        <v>30000</v>
      </c>
      <c r="G85" s="721"/>
      <c r="H85" s="721">
        <f t="shared" si="12"/>
        <v>30000</v>
      </c>
      <c r="I85" s="80"/>
      <c r="J85" s="80"/>
      <c r="K85" s="80"/>
      <c r="L85" s="80"/>
    </row>
    <row r="86" spans="1:12" s="27" customFormat="1" ht="15" customHeight="1" x14ac:dyDescent="0.2">
      <c r="A86" s="496"/>
      <c r="B86" s="492"/>
      <c r="C86" s="491"/>
      <c r="D86" s="492"/>
      <c r="E86" s="713" t="s">
        <v>303</v>
      </c>
      <c r="F86" s="721">
        <v>30000</v>
      </c>
      <c r="G86" s="721"/>
      <c r="H86" s="721">
        <f t="shared" si="12"/>
        <v>30000</v>
      </c>
      <c r="I86" s="80"/>
      <c r="J86" s="80"/>
      <c r="K86" s="80"/>
      <c r="L86" s="80"/>
    </row>
    <row r="87" spans="1:12" s="27" customFormat="1" ht="15" customHeight="1" x14ac:dyDescent="0.2">
      <c r="A87" s="496"/>
      <c r="B87" s="492"/>
      <c r="C87" s="491"/>
      <c r="D87" s="492"/>
      <c r="E87" s="713" t="s">
        <v>304</v>
      </c>
      <c r="F87" s="721">
        <v>43622</v>
      </c>
      <c r="G87" s="721"/>
      <c r="H87" s="721">
        <f t="shared" si="12"/>
        <v>43622</v>
      </c>
      <c r="I87" s="80"/>
      <c r="J87" s="80"/>
      <c r="K87" s="80"/>
      <c r="L87" s="80"/>
    </row>
    <row r="88" spans="1:12" s="27" customFormat="1" ht="15" customHeight="1" x14ac:dyDescent="0.2">
      <c r="A88" s="496"/>
      <c r="B88" s="492"/>
      <c r="C88" s="491"/>
      <c r="D88" s="492"/>
      <c r="E88" s="325" t="s">
        <v>66</v>
      </c>
      <c r="F88" s="721"/>
      <c r="G88" s="721"/>
      <c r="H88" s="721">
        <f t="shared" si="12"/>
        <v>0</v>
      </c>
      <c r="I88" s="80"/>
      <c r="J88" s="80"/>
      <c r="K88" s="80"/>
      <c r="L88" s="80"/>
    </row>
    <row r="89" spans="1:12" s="27" customFormat="1" ht="15" customHeight="1" x14ac:dyDescent="0.2">
      <c r="A89" s="496"/>
      <c r="B89" s="492"/>
      <c r="C89" s="491"/>
      <c r="D89" s="492"/>
      <c r="E89" s="713" t="s">
        <v>302</v>
      </c>
      <c r="F89" s="721"/>
      <c r="G89" s="721"/>
      <c r="H89" s="721">
        <f t="shared" si="12"/>
        <v>0</v>
      </c>
      <c r="I89" s="80"/>
      <c r="J89" s="80"/>
      <c r="K89" s="80"/>
      <c r="L89" s="80"/>
    </row>
    <row r="90" spans="1:12" s="27" customFormat="1" ht="15" customHeight="1" x14ac:dyDescent="0.2">
      <c r="A90" s="496"/>
      <c r="B90" s="492"/>
      <c r="C90" s="491"/>
      <c r="D90" s="492"/>
      <c r="E90" s="713" t="s">
        <v>303</v>
      </c>
      <c r="F90" s="721"/>
      <c r="G90" s="721"/>
      <c r="H90" s="721">
        <f t="shared" si="12"/>
        <v>0</v>
      </c>
      <c r="I90" s="80"/>
      <c r="J90" s="80"/>
      <c r="K90" s="80"/>
      <c r="L90" s="80"/>
    </row>
    <row r="91" spans="1:12" s="27" customFormat="1" ht="15" customHeight="1" x14ac:dyDescent="0.2">
      <c r="A91" s="496"/>
      <c r="B91" s="492"/>
      <c r="C91" s="491"/>
      <c r="D91" s="492"/>
      <c r="E91" s="713" t="s">
        <v>304</v>
      </c>
      <c r="F91" s="721"/>
      <c r="G91" s="721"/>
      <c r="H91" s="721">
        <f t="shared" si="12"/>
        <v>0</v>
      </c>
      <c r="I91" s="80"/>
      <c r="J91" s="80"/>
      <c r="K91" s="80"/>
      <c r="L91" s="80"/>
    </row>
    <row r="92" spans="1:12" s="27" customFormat="1" ht="15" customHeight="1" x14ac:dyDescent="0.2">
      <c r="A92" s="496"/>
      <c r="B92" s="492"/>
      <c r="C92" s="491"/>
      <c r="D92" s="492"/>
      <c r="E92" s="737" t="s">
        <v>191</v>
      </c>
      <c r="F92" s="721"/>
      <c r="G92" s="721"/>
      <c r="H92" s="721">
        <f t="shared" si="12"/>
        <v>0</v>
      </c>
      <c r="I92" s="80"/>
      <c r="J92" s="80"/>
      <c r="K92" s="80"/>
      <c r="L92" s="80"/>
    </row>
    <row r="93" spans="1:12" s="27" customFormat="1" ht="15" customHeight="1" x14ac:dyDescent="0.2">
      <c r="A93" s="496"/>
      <c r="B93" s="492"/>
      <c r="C93" s="491"/>
      <c r="D93" s="492"/>
      <c r="E93" s="713" t="s">
        <v>302</v>
      </c>
      <c r="F93" s="721">
        <f>F97+F101</f>
        <v>245938</v>
      </c>
      <c r="G93" s="721">
        <f>G97+G101</f>
        <v>0</v>
      </c>
      <c r="H93" s="721">
        <f t="shared" si="12"/>
        <v>245938</v>
      </c>
      <c r="I93" s="80"/>
      <c r="J93" s="80"/>
      <c r="K93" s="80"/>
      <c r="L93" s="80"/>
    </row>
    <row r="94" spans="1:12" s="27" customFormat="1" ht="15" customHeight="1" x14ac:dyDescent="0.2">
      <c r="A94" s="496"/>
      <c r="B94" s="492"/>
      <c r="C94" s="491"/>
      <c r="D94" s="492"/>
      <c r="E94" s="713" t="s">
        <v>303</v>
      </c>
      <c r="F94" s="721">
        <f t="shared" ref="F94:G95" si="14">F98+F102</f>
        <v>245938</v>
      </c>
      <c r="G94" s="721">
        <f t="shared" si="14"/>
        <v>0</v>
      </c>
      <c r="H94" s="721">
        <f t="shared" si="12"/>
        <v>245938</v>
      </c>
      <c r="I94" s="80"/>
      <c r="J94" s="80"/>
      <c r="K94" s="80"/>
      <c r="L94" s="80"/>
    </row>
    <row r="95" spans="1:12" s="27" customFormat="1" ht="15" customHeight="1" x14ac:dyDescent="0.2">
      <c r="A95" s="496"/>
      <c r="B95" s="492"/>
      <c r="C95" s="491"/>
      <c r="D95" s="492"/>
      <c r="E95" s="713" t="s">
        <v>304</v>
      </c>
      <c r="F95" s="721">
        <f t="shared" si="14"/>
        <v>2017494</v>
      </c>
      <c r="G95" s="721">
        <f t="shared" si="14"/>
        <v>0</v>
      </c>
      <c r="H95" s="721">
        <f t="shared" si="12"/>
        <v>2017494</v>
      </c>
      <c r="I95" s="80"/>
      <c r="J95" s="80"/>
      <c r="K95" s="80"/>
      <c r="L95" s="80"/>
    </row>
    <row r="96" spans="1:12" s="27" customFormat="1" ht="15" customHeight="1" x14ac:dyDescent="0.2">
      <c r="A96" s="496"/>
      <c r="B96" s="492"/>
      <c r="C96" s="491"/>
      <c r="D96" s="492"/>
      <c r="E96" s="117" t="s">
        <v>65</v>
      </c>
      <c r="F96" s="721"/>
      <c r="G96" s="721"/>
      <c r="H96" s="721">
        <f t="shared" si="12"/>
        <v>0</v>
      </c>
      <c r="I96" s="80"/>
      <c r="J96" s="80"/>
      <c r="K96" s="80"/>
      <c r="L96" s="80"/>
    </row>
    <row r="97" spans="1:12" s="27" customFormat="1" ht="15" customHeight="1" x14ac:dyDescent="0.2">
      <c r="A97" s="496"/>
      <c r="B97" s="492"/>
      <c r="C97" s="491"/>
      <c r="D97" s="492"/>
      <c r="E97" s="713" t="s">
        <v>302</v>
      </c>
      <c r="F97" s="721"/>
      <c r="G97" s="721"/>
      <c r="H97" s="721">
        <f t="shared" si="12"/>
        <v>0</v>
      </c>
      <c r="I97" s="80"/>
      <c r="J97" s="80"/>
      <c r="K97" s="80"/>
      <c r="L97" s="80"/>
    </row>
    <row r="98" spans="1:12" s="27" customFormat="1" ht="15" customHeight="1" x14ac:dyDescent="0.2">
      <c r="A98" s="496"/>
      <c r="B98" s="492"/>
      <c r="C98" s="491"/>
      <c r="D98" s="492"/>
      <c r="E98" s="713" t="s">
        <v>303</v>
      </c>
      <c r="F98" s="721"/>
      <c r="G98" s="721"/>
      <c r="H98" s="721">
        <f t="shared" si="12"/>
        <v>0</v>
      </c>
      <c r="I98" s="80"/>
      <c r="J98" s="80"/>
      <c r="K98" s="80"/>
      <c r="L98" s="80"/>
    </row>
    <row r="99" spans="1:12" s="27" customFormat="1" ht="15" customHeight="1" x14ac:dyDescent="0.2">
      <c r="A99" s="496"/>
      <c r="B99" s="492"/>
      <c r="C99" s="491"/>
      <c r="D99" s="492"/>
      <c r="E99" s="713" t="s">
        <v>304</v>
      </c>
      <c r="F99" s="721">
        <v>61000</v>
      </c>
      <c r="G99" s="721"/>
      <c r="H99" s="721">
        <f t="shared" si="12"/>
        <v>61000</v>
      </c>
      <c r="I99" s="80"/>
      <c r="J99" s="80"/>
      <c r="K99" s="80"/>
      <c r="L99" s="80"/>
    </row>
    <row r="100" spans="1:12" s="27" customFormat="1" ht="15" customHeight="1" x14ac:dyDescent="0.2">
      <c r="A100" s="496"/>
      <c r="B100" s="492"/>
      <c r="C100" s="491"/>
      <c r="D100" s="492"/>
      <c r="E100" s="325" t="s">
        <v>66</v>
      </c>
      <c r="F100" s="721"/>
      <c r="G100" s="721"/>
      <c r="H100" s="721">
        <f t="shared" si="12"/>
        <v>0</v>
      </c>
      <c r="I100" s="80"/>
      <c r="J100" s="80"/>
      <c r="K100" s="80"/>
      <c r="L100" s="80"/>
    </row>
    <row r="101" spans="1:12" s="27" customFormat="1" ht="15" customHeight="1" x14ac:dyDescent="0.2">
      <c r="A101" s="496"/>
      <c r="B101" s="492"/>
      <c r="C101" s="491"/>
      <c r="D101" s="492"/>
      <c r="E101" s="713" t="s">
        <v>302</v>
      </c>
      <c r="F101" s="721">
        <v>245938</v>
      </c>
      <c r="G101" s="721"/>
      <c r="H101" s="721">
        <f t="shared" si="12"/>
        <v>245938</v>
      </c>
      <c r="I101" s="80"/>
      <c r="J101" s="80"/>
      <c r="K101" s="80"/>
      <c r="L101" s="80"/>
    </row>
    <row r="102" spans="1:12" s="27" customFormat="1" ht="15" customHeight="1" x14ac:dyDescent="0.2">
      <c r="A102" s="496"/>
      <c r="B102" s="492"/>
      <c r="C102" s="491"/>
      <c r="D102" s="492"/>
      <c r="E102" s="713" t="s">
        <v>303</v>
      </c>
      <c r="F102" s="721">
        <v>245938</v>
      </c>
      <c r="G102" s="721"/>
      <c r="H102" s="721">
        <f t="shared" si="12"/>
        <v>245938</v>
      </c>
      <c r="I102" s="80"/>
      <c r="J102" s="80"/>
      <c r="K102" s="80"/>
      <c r="L102" s="80"/>
    </row>
    <row r="103" spans="1:12" s="27" customFormat="1" ht="15" customHeight="1" x14ac:dyDescent="0.2">
      <c r="A103" s="496"/>
      <c r="B103" s="492"/>
      <c r="C103" s="491"/>
      <c r="D103" s="492"/>
      <c r="E103" s="713" t="s">
        <v>304</v>
      </c>
      <c r="F103" s="721">
        <f>1956494</f>
        <v>1956494</v>
      </c>
      <c r="G103" s="721"/>
      <c r="H103" s="721">
        <f t="shared" si="12"/>
        <v>1956494</v>
      </c>
      <c r="I103" s="80"/>
      <c r="J103" s="80"/>
      <c r="K103" s="80"/>
      <c r="L103" s="80"/>
    </row>
    <row r="104" spans="1:12" s="27" customFormat="1" ht="15" customHeight="1" x14ac:dyDescent="0.2">
      <c r="A104" s="496"/>
      <c r="B104" s="492"/>
      <c r="C104" s="491"/>
      <c r="D104" s="492"/>
      <c r="E104" s="737" t="s">
        <v>192</v>
      </c>
      <c r="F104" s="721"/>
      <c r="G104" s="721"/>
      <c r="H104" s="721"/>
      <c r="I104" s="80"/>
      <c r="J104" s="80"/>
      <c r="K104" s="80"/>
      <c r="L104" s="80"/>
    </row>
    <row r="105" spans="1:12" s="27" customFormat="1" ht="15" customHeight="1" x14ac:dyDescent="0.2">
      <c r="A105" s="496"/>
      <c r="B105" s="492"/>
      <c r="C105" s="491"/>
      <c r="D105" s="492"/>
      <c r="E105" s="713" t="s">
        <v>302</v>
      </c>
      <c r="F105" s="721">
        <f>F109+F113</f>
        <v>0</v>
      </c>
      <c r="G105" s="721">
        <f>G109+G113</f>
        <v>0</v>
      </c>
      <c r="H105" s="721">
        <f t="shared" si="12"/>
        <v>0</v>
      </c>
      <c r="I105" s="80"/>
      <c r="J105" s="80"/>
      <c r="K105" s="80"/>
      <c r="L105" s="80"/>
    </row>
    <row r="106" spans="1:12" s="27" customFormat="1" ht="15" customHeight="1" x14ac:dyDescent="0.2">
      <c r="A106" s="496"/>
      <c r="B106" s="492"/>
      <c r="C106" s="491"/>
      <c r="D106" s="492"/>
      <c r="E106" s="713" t="s">
        <v>303</v>
      </c>
      <c r="F106" s="721">
        <f t="shared" ref="F106:G107" si="15">F110+F114</f>
        <v>0</v>
      </c>
      <c r="G106" s="721">
        <f t="shared" si="15"/>
        <v>0</v>
      </c>
      <c r="H106" s="721">
        <f t="shared" si="12"/>
        <v>0</v>
      </c>
      <c r="I106" s="80"/>
      <c r="J106" s="80"/>
      <c r="K106" s="80"/>
      <c r="L106" s="80"/>
    </row>
    <row r="107" spans="1:12" s="27" customFormat="1" ht="15" customHeight="1" x14ac:dyDescent="0.2">
      <c r="A107" s="496"/>
      <c r="B107" s="492"/>
      <c r="C107" s="491"/>
      <c r="D107" s="492"/>
      <c r="E107" s="713" t="s">
        <v>304</v>
      </c>
      <c r="F107" s="721">
        <f t="shared" si="15"/>
        <v>0</v>
      </c>
      <c r="G107" s="721">
        <f t="shared" si="15"/>
        <v>0</v>
      </c>
      <c r="H107" s="721">
        <f t="shared" si="12"/>
        <v>0</v>
      </c>
      <c r="I107" s="80"/>
      <c r="J107" s="80"/>
      <c r="K107" s="80"/>
      <c r="L107" s="80"/>
    </row>
    <row r="108" spans="1:12" s="27" customFormat="1" ht="15" customHeight="1" x14ac:dyDescent="0.2">
      <c r="A108" s="496"/>
      <c r="B108" s="492"/>
      <c r="C108" s="491"/>
      <c r="D108" s="492"/>
      <c r="E108" s="117" t="s">
        <v>65</v>
      </c>
      <c r="F108" s="721"/>
      <c r="G108" s="721"/>
      <c r="H108" s="721">
        <f t="shared" si="12"/>
        <v>0</v>
      </c>
      <c r="I108" s="80"/>
      <c r="J108" s="80"/>
      <c r="K108" s="80"/>
      <c r="L108" s="80"/>
    </row>
    <row r="109" spans="1:12" s="27" customFormat="1" ht="15" customHeight="1" x14ac:dyDescent="0.2">
      <c r="A109" s="496"/>
      <c r="B109" s="492"/>
      <c r="C109" s="491"/>
      <c r="D109" s="492"/>
      <c r="E109" s="713" t="s">
        <v>302</v>
      </c>
      <c r="F109" s="721"/>
      <c r="G109" s="721"/>
      <c r="H109" s="721">
        <f t="shared" si="12"/>
        <v>0</v>
      </c>
      <c r="I109" s="80"/>
      <c r="J109" s="80"/>
      <c r="K109" s="80"/>
      <c r="L109" s="80"/>
    </row>
    <row r="110" spans="1:12" s="27" customFormat="1" ht="15" customHeight="1" x14ac:dyDescent="0.2">
      <c r="A110" s="496"/>
      <c r="B110" s="492"/>
      <c r="C110" s="491"/>
      <c r="D110" s="492"/>
      <c r="E110" s="713" t="s">
        <v>303</v>
      </c>
      <c r="F110" s="721"/>
      <c r="G110" s="721"/>
      <c r="H110" s="721">
        <f t="shared" si="12"/>
        <v>0</v>
      </c>
      <c r="I110" s="80"/>
      <c r="J110" s="80"/>
      <c r="K110" s="80"/>
      <c r="L110" s="80"/>
    </row>
    <row r="111" spans="1:12" s="27" customFormat="1" ht="15" customHeight="1" x14ac:dyDescent="0.2">
      <c r="A111" s="496"/>
      <c r="B111" s="492"/>
      <c r="C111" s="491"/>
      <c r="D111" s="492"/>
      <c r="E111" s="713" t="s">
        <v>304</v>
      </c>
      <c r="F111" s="721"/>
      <c r="G111" s="721"/>
      <c r="H111" s="721">
        <f t="shared" si="12"/>
        <v>0</v>
      </c>
      <c r="I111" s="80"/>
      <c r="J111" s="80"/>
      <c r="K111" s="80"/>
      <c r="L111" s="80"/>
    </row>
    <row r="112" spans="1:12" s="27" customFormat="1" ht="15" customHeight="1" x14ac:dyDescent="0.2">
      <c r="A112" s="496"/>
      <c r="B112" s="492"/>
      <c r="C112" s="491"/>
      <c r="D112" s="492"/>
      <c r="E112" s="325" t="s">
        <v>66</v>
      </c>
      <c r="F112" s="721"/>
      <c r="G112" s="721"/>
      <c r="H112" s="721">
        <f t="shared" si="12"/>
        <v>0</v>
      </c>
      <c r="I112" s="80"/>
      <c r="J112" s="80"/>
      <c r="K112" s="80"/>
      <c r="L112" s="80"/>
    </row>
    <row r="113" spans="1:12" s="27" customFormat="1" ht="15" customHeight="1" x14ac:dyDescent="0.2">
      <c r="A113" s="496"/>
      <c r="B113" s="492"/>
      <c r="C113" s="491"/>
      <c r="D113" s="492"/>
      <c r="E113" s="713" t="s">
        <v>302</v>
      </c>
      <c r="F113" s="721"/>
      <c r="G113" s="721"/>
      <c r="H113" s="721">
        <f t="shared" si="12"/>
        <v>0</v>
      </c>
      <c r="I113" s="80"/>
      <c r="J113" s="80"/>
      <c r="K113" s="80"/>
      <c r="L113" s="80"/>
    </row>
    <row r="114" spans="1:12" s="27" customFormat="1" ht="15" customHeight="1" x14ac:dyDescent="0.2">
      <c r="A114" s="496"/>
      <c r="B114" s="492"/>
      <c r="C114" s="491"/>
      <c r="D114" s="492"/>
      <c r="E114" s="713" t="s">
        <v>303</v>
      </c>
      <c r="F114" s="721"/>
      <c r="G114" s="721"/>
      <c r="H114" s="721">
        <f t="shared" si="12"/>
        <v>0</v>
      </c>
      <c r="I114" s="80"/>
      <c r="J114" s="80"/>
      <c r="K114" s="80"/>
      <c r="L114" s="80"/>
    </row>
    <row r="115" spans="1:12" s="27" customFormat="1" ht="15" customHeight="1" x14ac:dyDescent="0.2">
      <c r="A115" s="496"/>
      <c r="B115" s="492"/>
      <c r="C115" s="491"/>
      <c r="D115" s="492"/>
      <c r="E115" s="738" t="s">
        <v>304</v>
      </c>
      <c r="F115" s="739"/>
      <c r="G115" s="739"/>
      <c r="H115" s="739">
        <f t="shared" si="12"/>
        <v>0</v>
      </c>
      <c r="I115" s="80"/>
      <c r="J115" s="80"/>
      <c r="K115" s="80"/>
      <c r="L115" s="80"/>
    </row>
    <row r="116" spans="1:12" s="27" customFormat="1" ht="15" customHeight="1" x14ac:dyDescent="0.2">
      <c r="A116" s="1450">
        <v>3</v>
      </c>
      <c r="B116" s="1450"/>
      <c r="C116" s="1450" t="s">
        <v>107</v>
      </c>
      <c r="D116" s="1450"/>
      <c r="E116" s="740" t="s">
        <v>158</v>
      </c>
      <c r="F116" s="720"/>
      <c r="G116" s="720"/>
      <c r="H116" s="720">
        <f>F116+G116</f>
        <v>0</v>
      </c>
      <c r="I116" s="80"/>
      <c r="J116" s="80"/>
      <c r="K116" s="80"/>
      <c r="L116" s="80"/>
    </row>
    <row r="117" spans="1:12" s="27" customFormat="1" ht="15" customHeight="1" x14ac:dyDescent="0.2">
      <c r="A117" s="1450"/>
      <c r="B117" s="1450"/>
      <c r="C117" s="1450"/>
      <c r="D117" s="1450"/>
      <c r="E117" s="712" t="s">
        <v>302</v>
      </c>
      <c r="F117" s="720">
        <f>F121+F125</f>
        <v>0</v>
      </c>
      <c r="G117" s="720">
        <f>G121+G125</f>
        <v>0</v>
      </c>
      <c r="H117" s="720">
        <f t="shared" ref="H117:H163" si="16">F117+G117</f>
        <v>0</v>
      </c>
      <c r="I117" s="80"/>
      <c r="J117" s="80"/>
      <c r="K117" s="80"/>
      <c r="L117" s="80"/>
    </row>
    <row r="118" spans="1:12" s="27" customFormat="1" ht="15" customHeight="1" x14ac:dyDescent="0.2">
      <c r="A118" s="1450"/>
      <c r="B118" s="1450"/>
      <c r="C118" s="1450"/>
      <c r="D118" s="1450"/>
      <c r="E118" s="712" t="s">
        <v>303</v>
      </c>
      <c r="F118" s="720">
        <f t="shared" ref="F118:G119" si="17">F122+F126</f>
        <v>305008</v>
      </c>
      <c r="G118" s="720">
        <f t="shared" si="17"/>
        <v>0</v>
      </c>
      <c r="H118" s="720">
        <f t="shared" si="16"/>
        <v>305008</v>
      </c>
      <c r="I118" s="80"/>
      <c r="J118" s="80"/>
      <c r="K118" s="80"/>
      <c r="L118" s="80"/>
    </row>
    <row r="119" spans="1:12" s="27" customFormat="1" ht="15" customHeight="1" x14ac:dyDescent="0.2">
      <c r="A119" s="1450"/>
      <c r="B119" s="1450"/>
      <c r="C119" s="1450"/>
      <c r="D119" s="1450"/>
      <c r="E119" s="712" t="s">
        <v>304</v>
      </c>
      <c r="F119" s="720">
        <f t="shared" si="17"/>
        <v>280924</v>
      </c>
      <c r="G119" s="720">
        <f t="shared" si="17"/>
        <v>0</v>
      </c>
      <c r="H119" s="720">
        <f t="shared" si="16"/>
        <v>280924</v>
      </c>
      <c r="I119" s="80"/>
      <c r="J119" s="80"/>
      <c r="K119" s="80"/>
      <c r="L119" s="80"/>
    </row>
    <row r="120" spans="1:12" s="27" customFormat="1" ht="15" customHeight="1" x14ac:dyDescent="0.2">
      <c r="A120" s="1450"/>
      <c r="B120" s="1450"/>
      <c r="C120" s="1450"/>
      <c r="D120" s="1450" t="s">
        <v>54</v>
      </c>
      <c r="E120" s="734" t="s">
        <v>65</v>
      </c>
      <c r="F120" s="720"/>
      <c r="G120" s="720"/>
      <c r="H120" s="720">
        <f t="shared" si="16"/>
        <v>0</v>
      </c>
      <c r="I120" s="80"/>
      <c r="J120" s="80"/>
      <c r="K120" s="80"/>
      <c r="L120" s="80"/>
    </row>
    <row r="121" spans="1:12" s="27" customFormat="1" ht="15" customHeight="1" x14ac:dyDescent="0.2">
      <c r="A121" s="1450"/>
      <c r="B121" s="1450"/>
      <c r="C121" s="1450"/>
      <c r="D121" s="1450"/>
      <c r="E121" s="712" t="s">
        <v>302</v>
      </c>
      <c r="F121" s="720">
        <f>F133+F145+F153</f>
        <v>0</v>
      </c>
      <c r="G121" s="720">
        <f>G133+G145+G153</f>
        <v>0</v>
      </c>
      <c r="H121" s="720">
        <f t="shared" si="16"/>
        <v>0</v>
      </c>
      <c r="I121" s="80"/>
      <c r="J121" s="80"/>
      <c r="K121" s="80"/>
      <c r="L121" s="80"/>
    </row>
    <row r="122" spans="1:12" s="27" customFormat="1" ht="15" customHeight="1" x14ac:dyDescent="0.2">
      <c r="A122" s="1450"/>
      <c r="B122" s="1450"/>
      <c r="C122" s="1450"/>
      <c r="D122" s="1450"/>
      <c r="E122" s="712" t="s">
        <v>303</v>
      </c>
      <c r="F122" s="720">
        <f t="shared" ref="F122:G123" si="18">F134+F146+F154</f>
        <v>305008</v>
      </c>
      <c r="G122" s="720">
        <f t="shared" si="18"/>
        <v>0</v>
      </c>
      <c r="H122" s="720">
        <f t="shared" si="16"/>
        <v>305008</v>
      </c>
      <c r="I122" s="80"/>
      <c r="J122" s="80"/>
      <c r="K122" s="80"/>
      <c r="L122" s="80"/>
    </row>
    <row r="123" spans="1:12" s="27" customFormat="1" ht="15" customHeight="1" x14ac:dyDescent="0.2">
      <c r="A123" s="1450"/>
      <c r="B123" s="1450"/>
      <c r="C123" s="1450"/>
      <c r="D123" s="1450"/>
      <c r="E123" s="712" t="s">
        <v>304</v>
      </c>
      <c r="F123" s="720">
        <f t="shared" si="18"/>
        <v>280924</v>
      </c>
      <c r="G123" s="720">
        <f t="shared" si="18"/>
        <v>0</v>
      </c>
      <c r="H123" s="720">
        <f t="shared" si="16"/>
        <v>280924</v>
      </c>
      <c r="I123" s="80"/>
      <c r="J123" s="80"/>
      <c r="K123" s="80"/>
      <c r="L123" s="80"/>
    </row>
    <row r="124" spans="1:12" s="27" customFormat="1" ht="15" customHeight="1" x14ac:dyDescent="0.2">
      <c r="A124" s="1450"/>
      <c r="B124" s="1450"/>
      <c r="C124" s="1450"/>
      <c r="D124" s="1450" t="s">
        <v>55</v>
      </c>
      <c r="E124" s="735" t="s">
        <v>66</v>
      </c>
      <c r="F124" s="720"/>
      <c r="G124" s="720"/>
      <c r="H124" s="720">
        <f t="shared" si="16"/>
        <v>0</v>
      </c>
      <c r="I124" s="80"/>
      <c r="J124" s="80"/>
      <c r="K124" s="80"/>
      <c r="L124" s="80"/>
    </row>
    <row r="125" spans="1:12" s="27" customFormat="1" ht="15" customHeight="1" x14ac:dyDescent="0.2">
      <c r="A125" s="1450"/>
      <c r="B125" s="1450"/>
      <c r="C125" s="1450"/>
      <c r="D125" s="1450"/>
      <c r="E125" s="712" t="s">
        <v>302</v>
      </c>
      <c r="F125" s="720">
        <f>F137+F149+F161</f>
        <v>0</v>
      </c>
      <c r="G125" s="720">
        <f>G137+G149+G161</f>
        <v>0</v>
      </c>
      <c r="H125" s="720">
        <f t="shared" si="16"/>
        <v>0</v>
      </c>
      <c r="I125" s="80"/>
      <c r="J125" s="80"/>
      <c r="K125" s="80"/>
      <c r="L125" s="80"/>
    </row>
    <row r="126" spans="1:12" s="27" customFormat="1" ht="15" customHeight="1" x14ac:dyDescent="0.2">
      <c r="A126" s="1450"/>
      <c r="B126" s="1450"/>
      <c r="C126" s="1450"/>
      <c r="D126" s="1450"/>
      <c r="E126" s="712" t="s">
        <v>303</v>
      </c>
      <c r="F126" s="720">
        <f t="shared" ref="F126:G127" si="19">F138+F150+F162</f>
        <v>0</v>
      </c>
      <c r="G126" s="720">
        <f t="shared" si="19"/>
        <v>0</v>
      </c>
      <c r="H126" s="720">
        <f t="shared" si="16"/>
        <v>0</v>
      </c>
      <c r="I126" s="80"/>
      <c r="J126" s="80"/>
      <c r="K126" s="80"/>
      <c r="L126" s="80"/>
    </row>
    <row r="127" spans="1:12" s="27" customFormat="1" ht="15" customHeight="1" x14ac:dyDescent="0.2">
      <c r="A127" s="1450"/>
      <c r="B127" s="1450"/>
      <c r="C127" s="1450"/>
      <c r="D127" s="1450"/>
      <c r="E127" s="712" t="s">
        <v>304</v>
      </c>
      <c r="F127" s="720">
        <f t="shared" si="19"/>
        <v>0</v>
      </c>
      <c r="G127" s="720">
        <f t="shared" si="19"/>
        <v>0</v>
      </c>
      <c r="H127" s="720">
        <f t="shared" si="16"/>
        <v>0</v>
      </c>
      <c r="I127" s="80"/>
      <c r="J127" s="80"/>
      <c r="K127" s="80"/>
      <c r="L127" s="80"/>
    </row>
    <row r="128" spans="1:12" s="27" customFormat="1" ht="15" customHeight="1" x14ac:dyDescent="0.2">
      <c r="A128" s="1419"/>
      <c r="B128" s="1452"/>
      <c r="C128" s="1420"/>
      <c r="D128" s="1417"/>
      <c r="E128" s="737" t="s">
        <v>211</v>
      </c>
      <c r="F128" s="721"/>
      <c r="G128" s="721"/>
      <c r="H128" s="721"/>
      <c r="I128" s="80"/>
      <c r="J128" s="80"/>
      <c r="K128" s="80"/>
      <c r="L128" s="80"/>
    </row>
    <row r="129" spans="1:12" s="27" customFormat="1" ht="15" customHeight="1" x14ac:dyDescent="0.2">
      <c r="A129" s="1421"/>
      <c r="B129" s="1453"/>
      <c r="C129" s="1422"/>
      <c r="D129" s="1418"/>
      <c r="E129" s="713" t="s">
        <v>302</v>
      </c>
      <c r="F129" s="721">
        <f>F133+F137</f>
        <v>0</v>
      </c>
      <c r="G129" s="721">
        <f>G133+G137</f>
        <v>0</v>
      </c>
      <c r="H129" s="721">
        <f t="shared" si="16"/>
        <v>0</v>
      </c>
      <c r="I129" s="80"/>
      <c r="J129" s="80"/>
      <c r="K129" s="80"/>
      <c r="L129" s="80"/>
    </row>
    <row r="130" spans="1:12" s="27" customFormat="1" ht="15" customHeight="1" x14ac:dyDescent="0.2">
      <c r="A130" s="1421"/>
      <c r="B130" s="1453"/>
      <c r="C130" s="1422"/>
      <c r="D130" s="1418"/>
      <c r="E130" s="713" t="s">
        <v>303</v>
      </c>
      <c r="F130" s="721">
        <f t="shared" ref="F130:G131" si="20">F134+F138</f>
        <v>305008</v>
      </c>
      <c r="G130" s="721">
        <f t="shared" si="20"/>
        <v>0</v>
      </c>
      <c r="H130" s="721">
        <f t="shared" si="16"/>
        <v>305008</v>
      </c>
      <c r="I130" s="80"/>
      <c r="J130" s="80"/>
      <c r="K130" s="80"/>
      <c r="L130" s="80"/>
    </row>
    <row r="131" spans="1:12" s="27" customFormat="1" ht="15" customHeight="1" x14ac:dyDescent="0.2">
      <c r="A131" s="1421"/>
      <c r="B131" s="1453"/>
      <c r="C131" s="1422"/>
      <c r="D131" s="1464"/>
      <c r="E131" s="713" t="s">
        <v>304</v>
      </c>
      <c r="F131" s="721">
        <f t="shared" si="20"/>
        <v>280924</v>
      </c>
      <c r="G131" s="721">
        <f t="shared" si="20"/>
        <v>0</v>
      </c>
      <c r="H131" s="721">
        <f t="shared" si="16"/>
        <v>280924</v>
      </c>
      <c r="I131" s="80"/>
      <c r="J131" s="80"/>
      <c r="K131" s="80"/>
      <c r="L131" s="80"/>
    </row>
    <row r="132" spans="1:12" s="27" customFormat="1" ht="15" customHeight="1" x14ac:dyDescent="0.2">
      <c r="A132" s="1421"/>
      <c r="B132" s="1453"/>
      <c r="C132" s="1422"/>
      <c r="D132" s="1417" t="s">
        <v>54</v>
      </c>
      <c r="E132" s="117" t="s">
        <v>65</v>
      </c>
      <c r="F132" s="721"/>
      <c r="G132" s="721"/>
      <c r="H132" s="721">
        <f t="shared" si="16"/>
        <v>0</v>
      </c>
      <c r="I132" s="80"/>
      <c r="J132" s="80"/>
      <c r="K132" s="80"/>
      <c r="L132" s="80"/>
    </row>
    <row r="133" spans="1:12" s="27" customFormat="1" ht="15" customHeight="1" x14ac:dyDescent="0.2">
      <c r="A133" s="1421"/>
      <c r="B133" s="1453"/>
      <c r="C133" s="1422"/>
      <c r="D133" s="1418"/>
      <c r="E133" s="713" t="s">
        <v>302</v>
      </c>
      <c r="F133" s="721">
        <v>0</v>
      </c>
      <c r="G133" s="721"/>
      <c r="H133" s="721">
        <f t="shared" si="16"/>
        <v>0</v>
      </c>
      <c r="I133" s="80"/>
      <c r="J133" s="80"/>
      <c r="K133" s="80"/>
      <c r="L133" s="80"/>
    </row>
    <row r="134" spans="1:12" s="27" customFormat="1" ht="15" customHeight="1" x14ac:dyDescent="0.2">
      <c r="A134" s="1421"/>
      <c r="B134" s="1453"/>
      <c r="C134" s="1422"/>
      <c r="D134" s="1418"/>
      <c r="E134" s="713" t="s">
        <v>303</v>
      </c>
      <c r="F134" s="721">
        <v>305008</v>
      </c>
      <c r="G134" s="721"/>
      <c r="H134" s="721">
        <f t="shared" si="16"/>
        <v>305008</v>
      </c>
      <c r="I134" s="80"/>
      <c r="J134" s="80"/>
      <c r="K134" s="80"/>
      <c r="L134" s="80"/>
    </row>
    <row r="135" spans="1:12" s="27" customFormat="1" ht="15" customHeight="1" x14ac:dyDescent="0.2">
      <c r="A135" s="1421"/>
      <c r="B135" s="1453"/>
      <c r="C135" s="1422"/>
      <c r="D135" s="1464"/>
      <c r="E135" s="713" t="s">
        <v>304</v>
      </c>
      <c r="F135" s="721">
        <v>280924</v>
      </c>
      <c r="G135" s="721"/>
      <c r="H135" s="721">
        <f t="shared" si="16"/>
        <v>280924</v>
      </c>
      <c r="I135" s="80"/>
      <c r="J135" s="80"/>
      <c r="K135" s="80"/>
      <c r="L135" s="80"/>
    </row>
    <row r="136" spans="1:12" s="27" customFormat="1" ht="15" customHeight="1" x14ac:dyDescent="0.2">
      <c r="A136" s="1421"/>
      <c r="B136" s="1453"/>
      <c r="C136" s="1422"/>
      <c r="D136" s="1417" t="s">
        <v>55</v>
      </c>
      <c r="E136" s="325" t="s">
        <v>66</v>
      </c>
      <c r="F136" s="721"/>
      <c r="G136" s="721"/>
      <c r="H136" s="721">
        <f t="shared" si="16"/>
        <v>0</v>
      </c>
      <c r="I136" s="80"/>
      <c r="J136" s="80"/>
      <c r="K136" s="80"/>
      <c r="L136" s="80"/>
    </row>
    <row r="137" spans="1:12" s="27" customFormat="1" ht="15" customHeight="1" x14ac:dyDescent="0.2">
      <c r="A137" s="1421"/>
      <c r="B137" s="1453"/>
      <c r="C137" s="1422"/>
      <c r="D137" s="1418"/>
      <c r="E137" s="713" t="s">
        <v>302</v>
      </c>
      <c r="F137" s="721"/>
      <c r="G137" s="721"/>
      <c r="H137" s="721">
        <f t="shared" si="16"/>
        <v>0</v>
      </c>
      <c r="I137" s="80"/>
      <c r="J137" s="80"/>
      <c r="K137" s="80"/>
      <c r="L137" s="80"/>
    </row>
    <row r="138" spans="1:12" s="27" customFormat="1" ht="15" customHeight="1" x14ac:dyDescent="0.2">
      <c r="A138" s="1421"/>
      <c r="B138" s="1453"/>
      <c r="C138" s="1422"/>
      <c r="D138" s="1418"/>
      <c r="E138" s="713" t="s">
        <v>303</v>
      </c>
      <c r="F138" s="721"/>
      <c r="G138" s="721"/>
      <c r="H138" s="721">
        <f t="shared" si="16"/>
        <v>0</v>
      </c>
      <c r="I138" s="80"/>
      <c r="J138" s="80"/>
      <c r="K138" s="80"/>
      <c r="L138" s="80"/>
    </row>
    <row r="139" spans="1:12" s="27" customFormat="1" ht="15" customHeight="1" x14ac:dyDescent="0.2">
      <c r="A139" s="1421"/>
      <c r="B139" s="1453"/>
      <c r="C139" s="1422"/>
      <c r="D139" s="1464"/>
      <c r="E139" s="713" t="s">
        <v>304</v>
      </c>
      <c r="F139" s="721"/>
      <c r="G139" s="721"/>
      <c r="H139" s="721">
        <f t="shared" si="16"/>
        <v>0</v>
      </c>
      <c r="I139" s="80"/>
      <c r="J139" s="80"/>
      <c r="K139" s="80"/>
      <c r="L139" s="80"/>
    </row>
    <row r="140" spans="1:12" s="27" customFormat="1" ht="15" customHeight="1" x14ac:dyDescent="0.2">
      <c r="A140" s="1421"/>
      <c r="B140" s="1453"/>
      <c r="C140" s="1422"/>
      <c r="D140" s="1417"/>
      <c r="E140" s="737" t="s">
        <v>191</v>
      </c>
      <c r="F140" s="721"/>
      <c r="G140" s="721"/>
      <c r="H140" s="721"/>
      <c r="I140" s="80"/>
      <c r="J140" s="80"/>
      <c r="K140" s="80"/>
      <c r="L140" s="80"/>
    </row>
    <row r="141" spans="1:12" s="27" customFormat="1" ht="15" customHeight="1" x14ac:dyDescent="0.2">
      <c r="A141" s="1421"/>
      <c r="B141" s="1453"/>
      <c r="C141" s="1422"/>
      <c r="D141" s="1418"/>
      <c r="E141" s="713" t="s">
        <v>302</v>
      </c>
      <c r="F141" s="721">
        <f>F145+F149</f>
        <v>0</v>
      </c>
      <c r="G141" s="721">
        <f>G145+G149</f>
        <v>0</v>
      </c>
      <c r="H141" s="721">
        <f t="shared" si="16"/>
        <v>0</v>
      </c>
      <c r="I141" s="80"/>
      <c r="J141" s="80"/>
      <c r="K141" s="80"/>
      <c r="L141" s="80"/>
    </row>
    <row r="142" spans="1:12" s="27" customFormat="1" ht="15" customHeight="1" x14ac:dyDescent="0.2">
      <c r="A142" s="1421"/>
      <c r="B142" s="1453"/>
      <c r="C142" s="1422"/>
      <c r="D142" s="1418"/>
      <c r="E142" s="713" t="s">
        <v>303</v>
      </c>
      <c r="F142" s="721">
        <f t="shared" ref="F142:G143" si="21">F146+F150</f>
        <v>0</v>
      </c>
      <c r="G142" s="721">
        <f t="shared" si="21"/>
        <v>0</v>
      </c>
      <c r="H142" s="721">
        <f t="shared" si="16"/>
        <v>0</v>
      </c>
      <c r="I142" s="80"/>
      <c r="J142" s="80"/>
      <c r="K142" s="80"/>
      <c r="L142" s="80"/>
    </row>
    <row r="143" spans="1:12" s="27" customFormat="1" ht="15" customHeight="1" x14ac:dyDescent="0.2">
      <c r="A143" s="1421"/>
      <c r="B143" s="1453"/>
      <c r="C143" s="1422"/>
      <c r="D143" s="1464"/>
      <c r="E143" s="713" t="s">
        <v>304</v>
      </c>
      <c r="F143" s="721">
        <f t="shared" si="21"/>
        <v>0</v>
      </c>
      <c r="G143" s="721">
        <f t="shared" si="21"/>
        <v>0</v>
      </c>
      <c r="H143" s="721">
        <f t="shared" si="16"/>
        <v>0</v>
      </c>
      <c r="I143" s="80"/>
      <c r="J143" s="80"/>
      <c r="K143" s="80"/>
      <c r="L143" s="80"/>
    </row>
    <row r="144" spans="1:12" s="27" customFormat="1" ht="15" customHeight="1" x14ac:dyDescent="0.2">
      <c r="A144" s="1421"/>
      <c r="B144" s="1453"/>
      <c r="C144" s="1422"/>
      <c r="D144" s="1417" t="s">
        <v>54</v>
      </c>
      <c r="E144" s="117" t="s">
        <v>65</v>
      </c>
      <c r="F144" s="721"/>
      <c r="G144" s="721"/>
      <c r="H144" s="721">
        <f t="shared" si="16"/>
        <v>0</v>
      </c>
      <c r="I144" s="80"/>
      <c r="J144" s="80"/>
      <c r="K144" s="80"/>
      <c r="L144" s="80"/>
    </row>
    <row r="145" spans="1:12" s="27" customFormat="1" ht="15" customHeight="1" x14ac:dyDescent="0.2">
      <c r="A145" s="1421"/>
      <c r="B145" s="1453"/>
      <c r="C145" s="1422"/>
      <c r="D145" s="1418"/>
      <c r="E145" s="713" t="s">
        <v>302</v>
      </c>
      <c r="F145" s="721"/>
      <c r="G145" s="721"/>
      <c r="H145" s="721">
        <f t="shared" si="16"/>
        <v>0</v>
      </c>
      <c r="I145" s="80"/>
      <c r="J145" s="80"/>
      <c r="K145" s="80"/>
      <c r="L145" s="80"/>
    </row>
    <row r="146" spans="1:12" s="27" customFormat="1" ht="15" customHeight="1" x14ac:dyDescent="0.2">
      <c r="A146" s="1421"/>
      <c r="B146" s="1453"/>
      <c r="C146" s="1422"/>
      <c r="D146" s="1418"/>
      <c r="E146" s="713" t="s">
        <v>303</v>
      </c>
      <c r="F146" s="721"/>
      <c r="G146" s="721"/>
      <c r="H146" s="721">
        <f t="shared" si="16"/>
        <v>0</v>
      </c>
      <c r="I146" s="80"/>
      <c r="J146" s="80"/>
      <c r="K146" s="80"/>
      <c r="L146" s="80"/>
    </row>
    <row r="147" spans="1:12" s="27" customFormat="1" ht="15" customHeight="1" x14ac:dyDescent="0.2">
      <c r="A147" s="1421"/>
      <c r="B147" s="1453"/>
      <c r="C147" s="1422"/>
      <c r="D147" s="1464"/>
      <c r="E147" s="713" t="s">
        <v>304</v>
      </c>
      <c r="F147" s="721"/>
      <c r="G147" s="721"/>
      <c r="H147" s="721">
        <f t="shared" si="16"/>
        <v>0</v>
      </c>
      <c r="I147" s="80"/>
      <c r="J147" s="80"/>
      <c r="K147" s="80"/>
      <c r="L147" s="80"/>
    </row>
    <row r="148" spans="1:12" s="27" customFormat="1" ht="15" customHeight="1" x14ac:dyDescent="0.2">
      <c r="A148" s="1421"/>
      <c r="B148" s="1453"/>
      <c r="C148" s="1422"/>
      <c r="D148" s="1417" t="s">
        <v>55</v>
      </c>
      <c r="E148" s="325" t="s">
        <v>66</v>
      </c>
      <c r="F148" s="721"/>
      <c r="G148" s="721"/>
      <c r="H148" s="721">
        <f t="shared" si="16"/>
        <v>0</v>
      </c>
      <c r="I148" s="80"/>
      <c r="J148" s="80"/>
      <c r="K148" s="80"/>
      <c r="L148" s="80"/>
    </row>
    <row r="149" spans="1:12" s="27" customFormat="1" ht="15" customHeight="1" x14ac:dyDescent="0.2">
      <c r="A149" s="1421"/>
      <c r="B149" s="1453"/>
      <c r="C149" s="1422"/>
      <c r="D149" s="1418"/>
      <c r="E149" s="713" t="s">
        <v>302</v>
      </c>
      <c r="F149" s="721"/>
      <c r="G149" s="721"/>
      <c r="H149" s="721">
        <f t="shared" si="16"/>
        <v>0</v>
      </c>
      <c r="I149" s="80"/>
      <c r="J149" s="80"/>
      <c r="K149" s="80"/>
      <c r="L149" s="80"/>
    </row>
    <row r="150" spans="1:12" s="27" customFormat="1" ht="15" customHeight="1" x14ac:dyDescent="0.2">
      <c r="A150" s="1421"/>
      <c r="B150" s="1453"/>
      <c r="C150" s="1422"/>
      <c r="D150" s="1418"/>
      <c r="E150" s="713" t="s">
        <v>303</v>
      </c>
      <c r="F150" s="721"/>
      <c r="G150" s="721"/>
      <c r="H150" s="721">
        <f t="shared" si="16"/>
        <v>0</v>
      </c>
      <c r="I150" s="80"/>
      <c r="J150" s="80"/>
      <c r="K150" s="80"/>
      <c r="L150" s="80"/>
    </row>
    <row r="151" spans="1:12" s="27" customFormat="1" ht="15" customHeight="1" x14ac:dyDescent="0.2">
      <c r="A151" s="1421"/>
      <c r="B151" s="1453"/>
      <c r="C151" s="1422"/>
      <c r="D151" s="1464"/>
      <c r="E151" s="713" t="s">
        <v>304</v>
      </c>
      <c r="F151" s="721"/>
      <c r="G151" s="721"/>
      <c r="H151" s="721">
        <f t="shared" si="16"/>
        <v>0</v>
      </c>
      <c r="I151" s="80"/>
      <c r="J151" s="80"/>
      <c r="K151" s="80"/>
      <c r="L151" s="80"/>
    </row>
    <row r="152" spans="1:12" s="27" customFormat="1" ht="15" customHeight="1" x14ac:dyDescent="0.2">
      <c r="A152" s="1421"/>
      <c r="B152" s="1453"/>
      <c r="C152" s="1422"/>
      <c r="D152" s="1417"/>
      <c r="E152" s="737" t="s">
        <v>192</v>
      </c>
      <c r="F152" s="721"/>
      <c r="G152" s="721"/>
      <c r="H152" s="721"/>
      <c r="I152" s="80"/>
      <c r="J152" s="80"/>
      <c r="K152" s="80"/>
      <c r="L152" s="80"/>
    </row>
    <row r="153" spans="1:12" s="27" customFormat="1" ht="15" customHeight="1" x14ac:dyDescent="0.2">
      <c r="A153" s="1421"/>
      <c r="B153" s="1453"/>
      <c r="C153" s="1422"/>
      <c r="D153" s="1418"/>
      <c r="E153" s="713" t="s">
        <v>302</v>
      </c>
      <c r="F153" s="721">
        <f>F157+F161</f>
        <v>0</v>
      </c>
      <c r="G153" s="721">
        <f>G157+G161</f>
        <v>0</v>
      </c>
      <c r="H153" s="721">
        <f t="shared" si="16"/>
        <v>0</v>
      </c>
      <c r="I153" s="80"/>
      <c r="J153" s="80"/>
      <c r="K153" s="80"/>
      <c r="L153" s="80"/>
    </row>
    <row r="154" spans="1:12" s="27" customFormat="1" ht="15" customHeight="1" x14ac:dyDescent="0.2">
      <c r="A154" s="1421"/>
      <c r="B154" s="1453"/>
      <c r="C154" s="1422"/>
      <c r="D154" s="1418"/>
      <c r="E154" s="713" t="s">
        <v>303</v>
      </c>
      <c r="F154" s="721">
        <f t="shared" ref="F154:G155" si="22">F158+F162</f>
        <v>0</v>
      </c>
      <c r="G154" s="721">
        <f t="shared" si="22"/>
        <v>0</v>
      </c>
      <c r="H154" s="721">
        <f t="shared" si="16"/>
        <v>0</v>
      </c>
      <c r="I154" s="80"/>
      <c r="J154" s="80"/>
      <c r="K154" s="80"/>
      <c r="L154" s="80"/>
    </row>
    <row r="155" spans="1:12" s="27" customFormat="1" ht="15" customHeight="1" x14ac:dyDescent="0.2">
      <c r="A155" s="1421"/>
      <c r="B155" s="1453"/>
      <c r="C155" s="1422"/>
      <c r="D155" s="1464"/>
      <c r="E155" s="713" t="s">
        <v>304</v>
      </c>
      <c r="F155" s="721">
        <f t="shared" si="22"/>
        <v>0</v>
      </c>
      <c r="G155" s="721">
        <f t="shared" si="22"/>
        <v>0</v>
      </c>
      <c r="H155" s="721">
        <f t="shared" si="16"/>
        <v>0</v>
      </c>
      <c r="I155" s="80"/>
      <c r="J155" s="80"/>
      <c r="K155" s="80"/>
      <c r="L155" s="80"/>
    </row>
    <row r="156" spans="1:12" s="27" customFormat="1" ht="15" customHeight="1" x14ac:dyDescent="0.2">
      <c r="A156" s="1421"/>
      <c r="B156" s="1453"/>
      <c r="C156" s="1422"/>
      <c r="D156" s="1417" t="s">
        <v>54</v>
      </c>
      <c r="E156" s="117" t="s">
        <v>65</v>
      </c>
      <c r="F156" s="721"/>
      <c r="G156" s="721"/>
      <c r="H156" s="721">
        <f t="shared" si="16"/>
        <v>0</v>
      </c>
      <c r="I156" s="80"/>
      <c r="J156" s="80"/>
      <c r="K156" s="80"/>
      <c r="L156" s="80"/>
    </row>
    <row r="157" spans="1:12" s="27" customFormat="1" ht="15" customHeight="1" x14ac:dyDescent="0.2">
      <c r="A157" s="1421"/>
      <c r="B157" s="1453"/>
      <c r="C157" s="1422"/>
      <c r="D157" s="1418"/>
      <c r="E157" s="713" t="s">
        <v>302</v>
      </c>
      <c r="F157" s="721"/>
      <c r="G157" s="721"/>
      <c r="H157" s="721">
        <f t="shared" si="16"/>
        <v>0</v>
      </c>
      <c r="I157" s="80"/>
      <c r="J157" s="80"/>
      <c r="K157" s="80"/>
      <c r="L157" s="80"/>
    </row>
    <row r="158" spans="1:12" s="27" customFormat="1" ht="15" customHeight="1" x14ac:dyDescent="0.2">
      <c r="A158" s="1421"/>
      <c r="B158" s="1453"/>
      <c r="C158" s="1422"/>
      <c r="D158" s="1418"/>
      <c r="E158" s="713" t="s">
        <v>303</v>
      </c>
      <c r="F158" s="721"/>
      <c r="G158" s="721"/>
      <c r="H158" s="721">
        <f t="shared" si="16"/>
        <v>0</v>
      </c>
      <c r="I158" s="80"/>
      <c r="J158" s="80"/>
      <c r="K158" s="80"/>
      <c r="L158" s="80"/>
    </row>
    <row r="159" spans="1:12" s="27" customFormat="1" ht="15" customHeight="1" x14ac:dyDescent="0.2">
      <c r="A159" s="1421"/>
      <c r="B159" s="1453"/>
      <c r="C159" s="1422"/>
      <c r="D159" s="1464"/>
      <c r="E159" s="713" t="s">
        <v>304</v>
      </c>
      <c r="F159" s="721"/>
      <c r="G159" s="721"/>
      <c r="H159" s="721">
        <f t="shared" si="16"/>
        <v>0</v>
      </c>
      <c r="I159" s="80"/>
      <c r="J159" s="80"/>
      <c r="K159" s="80"/>
      <c r="L159" s="80"/>
    </row>
    <row r="160" spans="1:12" s="27" customFormat="1" ht="15" customHeight="1" x14ac:dyDescent="0.2">
      <c r="A160" s="1421"/>
      <c r="B160" s="1453"/>
      <c r="C160" s="1422"/>
      <c r="D160" s="1417" t="s">
        <v>55</v>
      </c>
      <c r="E160" s="325" t="s">
        <v>66</v>
      </c>
      <c r="F160" s="721"/>
      <c r="G160" s="721"/>
      <c r="H160" s="721">
        <f t="shared" si="16"/>
        <v>0</v>
      </c>
      <c r="I160" s="80"/>
      <c r="J160" s="80"/>
      <c r="K160" s="80"/>
      <c r="L160" s="80"/>
    </row>
    <row r="161" spans="1:12" s="27" customFormat="1" ht="15" customHeight="1" x14ac:dyDescent="0.2">
      <c r="A161" s="1421"/>
      <c r="B161" s="1453"/>
      <c r="C161" s="1422"/>
      <c r="D161" s="1418"/>
      <c r="E161" s="713" t="s">
        <v>302</v>
      </c>
      <c r="F161" s="721"/>
      <c r="G161" s="721"/>
      <c r="H161" s="721">
        <f t="shared" si="16"/>
        <v>0</v>
      </c>
      <c r="I161" s="80"/>
      <c r="J161" s="80"/>
      <c r="K161" s="80"/>
      <c r="L161" s="80"/>
    </row>
    <row r="162" spans="1:12" s="27" customFormat="1" ht="15" customHeight="1" x14ac:dyDescent="0.2">
      <c r="A162" s="1421"/>
      <c r="B162" s="1453"/>
      <c r="C162" s="1422"/>
      <c r="D162" s="1418"/>
      <c r="E162" s="713" t="s">
        <v>303</v>
      </c>
      <c r="F162" s="721"/>
      <c r="G162" s="721"/>
      <c r="H162" s="721">
        <f t="shared" si="16"/>
        <v>0</v>
      </c>
      <c r="I162" s="80"/>
      <c r="J162" s="80"/>
      <c r="K162" s="80"/>
      <c r="L162" s="80"/>
    </row>
    <row r="163" spans="1:12" s="27" customFormat="1" ht="15" customHeight="1" x14ac:dyDescent="0.2">
      <c r="A163" s="1426"/>
      <c r="B163" s="1454"/>
      <c r="C163" s="1427"/>
      <c r="D163" s="1464"/>
      <c r="E163" s="713" t="s">
        <v>304</v>
      </c>
      <c r="F163" s="721"/>
      <c r="G163" s="721"/>
      <c r="H163" s="721">
        <f t="shared" si="16"/>
        <v>0</v>
      </c>
      <c r="I163" s="80"/>
      <c r="J163" s="80"/>
      <c r="K163" s="80"/>
      <c r="L163" s="80"/>
    </row>
    <row r="164" spans="1:12" s="27" customFormat="1" ht="15" customHeight="1" x14ac:dyDescent="0.2">
      <c r="A164" s="1450">
        <v>4</v>
      </c>
      <c r="B164" s="1450"/>
      <c r="C164" s="1450" t="s">
        <v>106</v>
      </c>
      <c r="D164" s="1450"/>
      <c r="E164" s="736" t="s">
        <v>160</v>
      </c>
      <c r="F164" s="720"/>
      <c r="G164" s="720"/>
      <c r="H164" s="720"/>
      <c r="I164" s="80"/>
      <c r="J164" s="80"/>
      <c r="K164" s="80"/>
      <c r="L164" s="80"/>
    </row>
    <row r="165" spans="1:12" s="27" customFormat="1" ht="15" customHeight="1" x14ac:dyDescent="0.2">
      <c r="A165" s="1450"/>
      <c r="B165" s="1450"/>
      <c r="C165" s="1450"/>
      <c r="D165" s="1450"/>
      <c r="E165" s="712" t="s">
        <v>302</v>
      </c>
      <c r="F165" s="720">
        <f>F169+F173</f>
        <v>40000</v>
      </c>
      <c r="G165" s="720">
        <f>G169+G173</f>
        <v>0</v>
      </c>
      <c r="H165" s="720">
        <f t="shared" ref="H165:H351" si="23">F165</f>
        <v>40000</v>
      </c>
      <c r="I165" s="80"/>
      <c r="J165" s="80"/>
      <c r="K165" s="80"/>
      <c r="L165" s="80"/>
    </row>
    <row r="166" spans="1:12" s="27" customFormat="1" ht="15" customHeight="1" x14ac:dyDescent="0.2">
      <c r="A166" s="1450"/>
      <c r="B166" s="1450"/>
      <c r="C166" s="1450"/>
      <c r="D166" s="1450"/>
      <c r="E166" s="712" t="s">
        <v>303</v>
      </c>
      <c r="F166" s="720">
        <f t="shared" ref="F166:G167" si="24">F170+F174</f>
        <v>40000</v>
      </c>
      <c r="G166" s="720">
        <f t="shared" si="24"/>
        <v>0</v>
      </c>
      <c r="H166" s="720">
        <f t="shared" si="23"/>
        <v>40000</v>
      </c>
      <c r="I166" s="80"/>
      <c r="J166" s="80"/>
      <c r="K166" s="80"/>
      <c r="L166" s="80"/>
    </row>
    <row r="167" spans="1:12" s="27" customFormat="1" ht="15" customHeight="1" x14ac:dyDescent="0.2">
      <c r="A167" s="1450"/>
      <c r="B167" s="1450"/>
      <c r="C167" s="1450"/>
      <c r="D167" s="1450"/>
      <c r="E167" s="712" t="s">
        <v>304</v>
      </c>
      <c r="F167" s="720">
        <f t="shared" si="24"/>
        <v>0</v>
      </c>
      <c r="G167" s="720">
        <f t="shared" si="24"/>
        <v>0</v>
      </c>
      <c r="H167" s="720">
        <f t="shared" si="23"/>
        <v>0</v>
      </c>
      <c r="I167" s="80"/>
      <c r="J167" s="80"/>
      <c r="K167" s="80"/>
      <c r="L167" s="80"/>
    </row>
    <row r="168" spans="1:12" s="27" customFormat="1" ht="15" customHeight="1" x14ac:dyDescent="0.2">
      <c r="A168" s="1450"/>
      <c r="B168" s="1450"/>
      <c r="C168" s="1450"/>
      <c r="D168" s="1450" t="s">
        <v>54</v>
      </c>
      <c r="E168" s="734" t="s">
        <v>65</v>
      </c>
      <c r="F168" s="720"/>
      <c r="G168" s="720"/>
      <c r="H168" s="720"/>
      <c r="I168" s="80"/>
      <c r="J168" s="80"/>
      <c r="K168" s="80"/>
      <c r="L168" s="80"/>
    </row>
    <row r="169" spans="1:12" s="27" customFormat="1" ht="15" customHeight="1" x14ac:dyDescent="0.2">
      <c r="A169" s="1450"/>
      <c r="B169" s="1450"/>
      <c r="C169" s="1450"/>
      <c r="D169" s="1450"/>
      <c r="E169" s="712" t="s">
        <v>302</v>
      </c>
      <c r="F169" s="720">
        <f>F181+F193+F205</f>
        <v>0</v>
      </c>
      <c r="G169" s="720">
        <f>G181+G193+G205</f>
        <v>0</v>
      </c>
      <c r="H169" s="720">
        <f t="shared" si="23"/>
        <v>0</v>
      </c>
      <c r="I169" s="80"/>
      <c r="J169" s="80"/>
      <c r="K169" s="80"/>
      <c r="L169" s="80"/>
    </row>
    <row r="170" spans="1:12" s="27" customFormat="1" ht="15" customHeight="1" x14ac:dyDescent="0.2">
      <c r="A170" s="1450"/>
      <c r="B170" s="1450"/>
      <c r="C170" s="1450"/>
      <c r="D170" s="1450"/>
      <c r="E170" s="712" t="s">
        <v>303</v>
      </c>
      <c r="F170" s="720">
        <f t="shared" ref="F170:G171" si="25">F182+F194+F206</f>
        <v>0</v>
      </c>
      <c r="G170" s="720">
        <f t="shared" si="25"/>
        <v>0</v>
      </c>
      <c r="H170" s="720">
        <f t="shared" si="23"/>
        <v>0</v>
      </c>
      <c r="I170" s="80"/>
      <c r="J170" s="80"/>
      <c r="K170" s="80"/>
      <c r="L170" s="80"/>
    </row>
    <row r="171" spans="1:12" s="27" customFormat="1" ht="15" customHeight="1" x14ac:dyDescent="0.2">
      <c r="A171" s="1450"/>
      <c r="B171" s="1450"/>
      <c r="C171" s="1450"/>
      <c r="D171" s="1450"/>
      <c r="E171" s="712" t="s">
        <v>304</v>
      </c>
      <c r="F171" s="720">
        <f t="shared" si="25"/>
        <v>0</v>
      </c>
      <c r="G171" s="720">
        <f t="shared" si="25"/>
        <v>0</v>
      </c>
      <c r="H171" s="720">
        <f t="shared" si="23"/>
        <v>0</v>
      </c>
      <c r="I171" s="80"/>
      <c r="J171" s="80"/>
      <c r="K171" s="80"/>
      <c r="L171" s="80"/>
    </row>
    <row r="172" spans="1:12" s="27" customFormat="1" ht="15" customHeight="1" x14ac:dyDescent="0.2">
      <c r="A172" s="1450"/>
      <c r="B172" s="1450"/>
      <c r="C172" s="1450"/>
      <c r="D172" s="1450" t="s">
        <v>55</v>
      </c>
      <c r="E172" s="735" t="s">
        <v>66</v>
      </c>
      <c r="F172" s="720"/>
      <c r="G172" s="720"/>
      <c r="H172" s="720"/>
      <c r="I172" s="80"/>
      <c r="J172" s="80"/>
      <c r="K172" s="80"/>
      <c r="L172" s="80"/>
    </row>
    <row r="173" spans="1:12" s="27" customFormat="1" ht="15" customHeight="1" x14ac:dyDescent="0.2">
      <c r="A173" s="1450"/>
      <c r="B173" s="1450"/>
      <c r="C173" s="1450"/>
      <c r="D173" s="1450"/>
      <c r="E173" s="712" t="s">
        <v>302</v>
      </c>
      <c r="F173" s="720">
        <f>F185+F197+F209</f>
        <v>40000</v>
      </c>
      <c r="G173" s="720">
        <f>G185+G197+G209</f>
        <v>0</v>
      </c>
      <c r="H173" s="720">
        <f t="shared" si="23"/>
        <v>40000</v>
      </c>
      <c r="I173" s="80"/>
      <c r="J173" s="80"/>
      <c r="K173" s="80"/>
      <c r="L173" s="80"/>
    </row>
    <row r="174" spans="1:12" s="27" customFormat="1" ht="15" customHeight="1" x14ac:dyDescent="0.2">
      <c r="A174" s="1450"/>
      <c r="B174" s="1450"/>
      <c r="C174" s="1450"/>
      <c r="D174" s="1450"/>
      <c r="E174" s="712" t="s">
        <v>303</v>
      </c>
      <c r="F174" s="720">
        <f t="shared" ref="F174:G175" si="26">F186+F198+F210</f>
        <v>40000</v>
      </c>
      <c r="G174" s="720">
        <f t="shared" si="26"/>
        <v>0</v>
      </c>
      <c r="H174" s="720">
        <f t="shared" si="23"/>
        <v>40000</v>
      </c>
      <c r="I174" s="80"/>
      <c r="J174" s="80"/>
      <c r="K174" s="80"/>
      <c r="L174" s="80"/>
    </row>
    <row r="175" spans="1:12" s="27" customFormat="1" ht="15" customHeight="1" x14ac:dyDescent="0.2">
      <c r="A175" s="1450"/>
      <c r="B175" s="1450"/>
      <c r="C175" s="1450"/>
      <c r="D175" s="1450"/>
      <c r="E175" s="712" t="s">
        <v>304</v>
      </c>
      <c r="F175" s="720">
        <f t="shared" si="26"/>
        <v>0</v>
      </c>
      <c r="G175" s="720">
        <f t="shared" si="26"/>
        <v>0</v>
      </c>
      <c r="H175" s="720">
        <f t="shared" si="23"/>
        <v>0</v>
      </c>
      <c r="I175" s="80"/>
      <c r="J175" s="80"/>
      <c r="K175" s="80"/>
      <c r="L175" s="80"/>
    </row>
    <row r="176" spans="1:12" s="27" customFormat="1" ht="15" customHeight="1" x14ac:dyDescent="0.2">
      <c r="A176" s="1440"/>
      <c r="B176" s="1440"/>
      <c r="C176" s="1440"/>
      <c r="D176" s="1451"/>
      <c r="E176" s="737" t="s">
        <v>211</v>
      </c>
      <c r="F176" s="721"/>
      <c r="G176" s="721"/>
      <c r="H176" s="721"/>
      <c r="I176" s="80"/>
      <c r="J176" s="80"/>
      <c r="K176" s="80"/>
      <c r="L176" s="80"/>
    </row>
    <row r="177" spans="1:12" s="27" customFormat="1" ht="15" customHeight="1" x14ac:dyDescent="0.2">
      <c r="A177" s="1440"/>
      <c r="B177" s="1440"/>
      <c r="C177" s="1440"/>
      <c r="D177" s="1451"/>
      <c r="E177" s="713" t="s">
        <v>302</v>
      </c>
      <c r="F177" s="721">
        <f>F181+F185</f>
        <v>0</v>
      </c>
      <c r="G177" s="721">
        <f>G181+G185</f>
        <v>0</v>
      </c>
      <c r="H177" s="721">
        <f t="shared" si="23"/>
        <v>0</v>
      </c>
      <c r="I177" s="80"/>
      <c r="J177" s="80"/>
      <c r="K177" s="80"/>
      <c r="L177" s="80"/>
    </row>
    <row r="178" spans="1:12" s="27" customFormat="1" ht="15" customHeight="1" x14ac:dyDescent="0.2">
      <c r="A178" s="1440"/>
      <c r="B178" s="1440"/>
      <c r="C178" s="1440"/>
      <c r="D178" s="1451"/>
      <c r="E178" s="713" t="s">
        <v>303</v>
      </c>
      <c r="F178" s="721">
        <f t="shared" ref="F178:G179" si="27">F182+F186</f>
        <v>0</v>
      </c>
      <c r="G178" s="721">
        <f t="shared" si="27"/>
        <v>0</v>
      </c>
      <c r="H178" s="721">
        <f t="shared" si="23"/>
        <v>0</v>
      </c>
      <c r="I178" s="80"/>
      <c r="J178" s="80"/>
      <c r="K178" s="80"/>
      <c r="L178" s="80"/>
    </row>
    <row r="179" spans="1:12" s="27" customFormat="1" ht="15" customHeight="1" x14ac:dyDescent="0.2">
      <c r="A179" s="1440"/>
      <c r="B179" s="1440"/>
      <c r="C179" s="1440"/>
      <c r="D179" s="1451"/>
      <c r="E179" s="713" t="s">
        <v>304</v>
      </c>
      <c r="F179" s="721">
        <f t="shared" si="27"/>
        <v>0</v>
      </c>
      <c r="G179" s="721">
        <f t="shared" si="27"/>
        <v>0</v>
      </c>
      <c r="H179" s="721">
        <f t="shared" si="23"/>
        <v>0</v>
      </c>
      <c r="I179" s="80"/>
      <c r="J179" s="80"/>
      <c r="K179" s="80"/>
      <c r="L179" s="80"/>
    </row>
    <row r="180" spans="1:12" s="27" customFormat="1" ht="15" customHeight="1" x14ac:dyDescent="0.2">
      <c r="A180" s="1440"/>
      <c r="B180" s="1440"/>
      <c r="C180" s="1440"/>
      <c r="D180" s="1451" t="s">
        <v>54</v>
      </c>
      <c r="E180" s="117" t="s">
        <v>65</v>
      </c>
      <c r="F180" s="721"/>
      <c r="G180" s="721"/>
      <c r="H180" s="721"/>
      <c r="I180" s="80"/>
      <c r="J180" s="80"/>
      <c r="K180" s="80"/>
      <c r="L180" s="80"/>
    </row>
    <row r="181" spans="1:12" s="27" customFormat="1" ht="15" customHeight="1" x14ac:dyDescent="0.2">
      <c r="A181" s="1440"/>
      <c r="B181" s="1440"/>
      <c r="C181" s="1440"/>
      <c r="D181" s="1451"/>
      <c r="E181" s="713" t="s">
        <v>302</v>
      </c>
      <c r="F181" s="721"/>
      <c r="G181" s="721"/>
      <c r="H181" s="721">
        <f t="shared" si="23"/>
        <v>0</v>
      </c>
      <c r="I181" s="80"/>
      <c r="J181" s="80"/>
      <c r="K181" s="80"/>
      <c r="L181" s="80"/>
    </row>
    <row r="182" spans="1:12" s="27" customFormat="1" ht="15" customHeight="1" x14ac:dyDescent="0.2">
      <c r="A182" s="1440"/>
      <c r="B182" s="1440"/>
      <c r="C182" s="1440"/>
      <c r="D182" s="1451"/>
      <c r="E182" s="713" t="s">
        <v>303</v>
      </c>
      <c r="F182" s="721"/>
      <c r="G182" s="721"/>
      <c r="H182" s="721">
        <f t="shared" si="23"/>
        <v>0</v>
      </c>
      <c r="I182" s="80"/>
      <c r="J182" s="80"/>
      <c r="K182" s="80"/>
      <c r="L182" s="80"/>
    </row>
    <row r="183" spans="1:12" s="27" customFormat="1" ht="15" customHeight="1" x14ac:dyDescent="0.2">
      <c r="A183" s="1440"/>
      <c r="B183" s="1440"/>
      <c r="C183" s="1440"/>
      <c r="D183" s="1451"/>
      <c r="E183" s="713" t="s">
        <v>304</v>
      </c>
      <c r="F183" s="721"/>
      <c r="G183" s="721"/>
      <c r="H183" s="721">
        <f t="shared" si="23"/>
        <v>0</v>
      </c>
      <c r="I183" s="80"/>
      <c r="J183" s="80"/>
      <c r="K183" s="80"/>
      <c r="L183" s="80"/>
    </row>
    <row r="184" spans="1:12" s="27" customFormat="1" ht="15" customHeight="1" x14ac:dyDescent="0.2">
      <c r="A184" s="1440"/>
      <c r="B184" s="1440"/>
      <c r="C184" s="1440"/>
      <c r="D184" s="1451" t="s">
        <v>55</v>
      </c>
      <c r="E184" s="325" t="s">
        <v>66</v>
      </c>
      <c r="F184" s="721"/>
      <c r="G184" s="721"/>
      <c r="H184" s="721"/>
      <c r="I184" s="80"/>
      <c r="J184" s="80"/>
      <c r="K184" s="80"/>
      <c r="L184" s="80"/>
    </row>
    <row r="185" spans="1:12" s="27" customFormat="1" ht="15" customHeight="1" x14ac:dyDescent="0.2">
      <c r="A185" s="1440"/>
      <c r="B185" s="1440"/>
      <c r="C185" s="1440"/>
      <c r="D185" s="1451"/>
      <c r="E185" s="713" t="s">
        <v>302</v>
      </c>
      <c r="F185" s="721"/>
      <c r="G185" s="721"/>
      <c r="H185" s="721">
        <f t="shared" si="23"/>
        <v>0</v>
      </c>
      <c r="I185" s="80"/>
      <c r="J185" s="80"/>
      <c r="K185" s="80"/>
      <c r="L185" s="80"/>
    </row>
    <row r="186" spans="1:12" s="27" customFormat="1" ht="15" customHeight="1" x14ac:dyDescent="0.2">
      <c r="A186" s="1440"/>
      <c r="B186" s="1440"/>
      <c r="C186" s="1440"/>
      <c r="D186" s="1451"/>
      <c r="E186" s="713" t="s">
        <v>303</v>
      </c>
      <c r="F186" s="721"/>
      <c r="G186" s="721"/>
      <c r="H186" s="721">
        <f t="shared" si="23"/>
        <v>0</v>
      </c>
      <c r="I186" s="80"/>
      <c r="J186" s="80"/>
      <c r="K186" s="80"/>
      <c r="L186" s="80"/>
    </row>
    <row r="187" spans="1:12" s="27" customFormat="1" ht="15" customHeight="1" x14ac:dyDescent="0.2">
      <c r="A187" s="1440"/>
      <c r="B187" s="1440"/>
      <c r="C187" s="1440"/>
      <c r="D187" s="1451"/>
      <c r="E187" s="713" t="s">
        <v>304</v>
      </c>
      <c r="F187" s="721"/>
      <c r="G187" s="721"/>
      <c r="H187" s="721">
        <f t="shared" si="23"/>
        <v>0</v>
      </c>
      <c r="I187" s="80"/>
      <c r="J187" s="80"/>
      <c r="K187" s="80"/>
      <c r="L187" s="80"/>
    </row>
    <row r="188" spans="1:12" s="27" customFormat="1" ht="15" customHeight="1" x14ac:dyDescent="0.2">
      <c r="A188" s="1440"/>
      <c r="B188" s="1440"/>
      <c r="C188" s="1440"/>
      <c r="D188" s="1451"/>
      <c r="E188" s="737" t="s">
        <v>191</v>
      </c>
      <c r="F188" s="721"/>
      <c r="G188" s="721"/>
      <c r="H188" s="721"/>
      <c r="I188" s="80"/>
      <c r="J188" s="80"/>
      <c r="K188" s="80"/>
      <c r="L188" s="80"/>
    </row>
    <row r="189" spans="1:12" s="27" customFormat="1" ht="15" customHeight="1" x14ac:dyDescent="0.2">
      <c r="A189" s="1440"/>
      <c r="B189" s="1440"/>
      <c r="C189" s="1440"/>
      <c r="D189" s="1451"/>
      <c r="E189" s="713" t="s">
        <v>302</v>
      </c>
      <c r="F189" s="721">
        <f>F193+F197</f>
        <v>40000</v>
      </c>
      <c r="G189" s="721">
        <f>G193+G197</f>
        <v>0</v>
      </c>
      <c r="H189" s="721">
        <f t="shared" si="23"/>
        <v>40000</v>
      </c>
      <c r="I189" s="80"/>
      <c r="J189" s="80"/>
      <c r="K189" s="80"/>
      <c r="L189" s="80"/>
    </row>
    <row r="190" spans="1:12" s="27" customFormat="1" ht="15" customHeight="1" x14ac:dyDescent="0.2">
      <c r="A190" s="1440"/>
      <c r="B190" s="1440"/>
      <c r="C190" s="1440"/>
      <c r="D190" s="1451"/>
      <c r="E190" s="713" t="s">
        <v>303</v>
      </c>
      <c r="F190" s="721">
        <f t="shared" ref="F190:G191" si="28">F194+F198</f>
        <v>40000</v>
      </c>
      <c r="G190" s="721">
        <f t="shared" si="28"/>
        <v>0</v>
      </c>
      <c r="H190" s="721">
        <f t="shared" si="23"/>
        <v>40000</v>
      </c>
      <c r="I190" s="80"/>
      <c r="J190" s="80"/>
      <c r="K190" s="80"/>
      <c r="L190" s="80"/>
    </row>
    <row r="191" spans="1:12" s="27" customFormat="1" ht="15" customHeight="1" x14ac:dyDescent="0.2">
      <c r="A191" s="1440"/>
      <c r="B191" s="1440"/>
      <c r="C191" s="1440"/>
      <c r="D191" s="1451"/>
      <c r="E191" s="713" t="s">
        <v>304</v>
      </c>
      <c r="F191" s="721">
        <f t="shared" si="28"/>
        <v>0</v>
      </c>
      <c r="G191" s="721">
        <f t="shared" si="28"/>
        <v>0</v>
      </c>
      <c r="H191" s="721">
        <f t="shared" si="23"/>
        <v>0</v>
      </c>
      <c r="I191" s="80"/>
      <c r="J191" s="80"/>
      <c r="K191" s="80"/>
      <c r="L191" s="80"/>
    </row>
    <row r="192" spans="1:12" s="27" customFormat="1" ht="15" customHeight="1" x14ac:dyDescent="0.2">
      <c r="A192" s="1440"/>
      <c r="B192" s="1440"/>
      <c r="C192" s="1440"/>
      <c r="D192" s="1451" t="s">
        <v>54</v>
      </c>
      <c r="E192" s="117" t="s">
        <v>65</v>
      </c>
      <c r="F192" s="721"/>
      <c r="G192" s="721"/>
      <c r="H192" s="721"/>
      <c r="I192" s="80"/>
      <c r="J192" s="80"/>
      <c r="K192" s="80"/>
      <c r="L192" s="80"/>
    </row>
    <row r="193" spans="1:12" s="27" customFormat="1" ht="15" customHeight="1" x14ac:dyDescent="0.2">
      <c r="A193" s="1440"/>
      <c r="B193" s="1440"/>
      <c r="C193" s="1440"/>
      <c r="D193" s="1451"/>
      <c r="E193" s="713" t="s">
        <v>302</v>
      </c>
      <c r="F193" s="721"/>
      <c r="G193" s="721"/>
      <c r="H193" s="721">
        <f t="shared" si="23"/>
        <v>0</v>
      </c>
      <c r="I193" s="80"/>
      <c r="J193" s="80"/>
      <c r="K193" s="80"/>
      <c r="L193" s="80"/>
    </row>
    <row r="194" spans="1:12" s="27" customFormat="1" ht="15" customHeight="1" x14ac:dyDescent="0.2">
      <c r="A194" s="1440"/>
      <c r="B194" s="1440"/>
      <c r="C194" s="1440"/>
      <c r="D194" s="1451"/>
      <c r="E194" s="713" t="s">
        <v>303</v>
      </c>
      <c r="F194" s="721"/>
      <c r="G194" s="721"/>
      <c r="H194" s="721">
        <f t="shared" si="23"/>
        <v>0</v>
      </c>
      <c r="I194" s="80"/>
      <c r="J194" s="80"/>
      <c r="K194" s="80"/>
      <c r="L194" s="80"/>
    </row>
    <row r="195" spans="1:12" s="27" customFormat="1" ht="15" customHeight="1" x14ac:dyDescent="0.2">
      <c r="A195" s="1440"/>
      <c r="B195" s="1440"/>
      <c r="C195" s="1440"/>
      <c r="D195" s="1451"/>
      <c r="E195" s="713" t="s">
        <v>304</v>
      </c>
      <c r="F195" s="721"/>
      <c r="G195" s="721"/>
      <c r="H195" s="721">
        <f t="shared" si="23"/>
        <v>0</v>
      </c>
      <c r="I195" s="80"/>
      <c r="J195" s="80"/>
      <c r="K195" s="80"/>
      <c r="L195" s="80"/>
    </row>
    <row r="196" spans="1:12" s="27" customFormat="1" ht="15" customHeight="1" x14ac:dyDescent="0.2">
      <c r="A196" s="1440"/>
      <c r="B196" s="1440"/>
      <c r="C196" s="1440"/>
      <c r="D196" s="1451" t="s">
        <v>55</v>
      </c>
      <c r="E196" s="325" t="s">
        <v>66</v>
      </c>
      <c r="F196" s="721"/>
      <c r="G196" s="721"/>
      <c r="H196" s="721"/>
      <c r="I196" s="80"/>
      <c r="J196" s="80"/>
      <c r="K196" s="80"/>
      <c r="L196" s="80"/>
    </row>
    <row r="197" spans="1:12" s="27" customFormat="1" ht="15" customHeight="1" x14ac:dyDescent="0.2">
      <c r="A197" s="1440"/>
      <c r="B197" s="1440"/>
      <c r="C197" s="1440"/>
      <c r="D197" s="1451"/>
      <c r="E197" s="713" t="s">
        <v>302</v>
      </c>
      <c r="F197" s="721">
        <v>40000</v>
      </c>
      <c r="G197" s="721"/>
      <c r="H197" s="721">
        <f t="shared" si="23"/>
        <v>40000</v>
      </c>
      <c r="I197" s="80"/>
      <c r="J197" s="80"/>
      <c r="K197" s="80"/>
      <c r="L197" s="80"/>
    </row>
    <row r="198" spans="1:12" s="27" customFormat="1" ht="15" customHeight="1" x14ac:dyDescent="0.2">
      <c r="A198" s="1440"/>
      <c r="B198" s="1440"/>
      <c r="C198" s="1440"/>
      <c r="D198" s="1451"/>
      <c r="E198" s="713" t="s">
        <v>303</v>
      </c>
      <c r="F198" s="721">
        <v>40000</v>
      </c>
      <c r="G198" s="721"/>
      <c r="H198" s="721">
        <f t="shared" si="23"/>
        <v>40000</v>
      </c>
      <c r="I198" s="80"/>
      <c r="J198" s="80"/>
      <c r="K198" s="80"/>
      <c r="L198" s="80"/>
    </row>
    <row r="199" spans="1:12" s="27" customFormat="1" ht="15" customHeight="1" x14ac:dyDescent="0.2">
      <c r="A199" s="1440"/>
      <c r="B199" s="1440"/>
      <c r="C199" s="1440"/>
      <c r="D199" s="1451"/>
      <c r="E199" s="713" t="s">
        <v>304</v>
      </c>
      <c r="F199" s="721">
        <v>0</v>
      </c>
      <c r="G199" s="721"/>
      <c r="H199" s="721">
        <f t="shared" si="23"/>
        <v>0</v>
      </c>
      <c r="I199" s="80"/>
      <c r="J199" s="80"/>
      <c r="K199" s="80"/>
      <c r="L199" s="80"/>
    </row>
    <row r="200" spans="1:12" s="27" customFormat="1" ht="15" customHeight="1" x14ac:dyDescent="0.2">
      <c r="A200" s="1440"/>
      <c r="B200" s="1440"/>
      <c r="C200" s="1440"/>
      <c r="D200" s="1451"/>
      <c r="E200" s="737" t="s">
        <v>192</v>
      </c>
      <c r="F200" s="721"/>
      <c r="G200" s="721"/>
      <c r="H200" s="721"/>
      <c r="I200" s="80"/>
      <c r="J200" s="80"/>
      <c r="K200" s="80"/>
      <c r="L200" s="80"/>
    </row>
    <row r="201" spans="1:12" s="27" customFormat="1" ht="15" customHeight="1" x14ac:dyDescent="0.2">
      <c r="A201" s="1440"/>
      <c r="B201" s="1440"/>
      <c r="C201" s="1440"/>
      <c r="D201" s="1451"/>
      <c r="E201" s="713" t="s">
        <v>302</v>
      </c>
      <c r="F201" s="721">
        <f>F205+F209</f>
        <v>0</v>
      </c>
      <c r="G201" s="721">
        <f>G205+G209</f>
        <v>0</v>
      </c>
      <c r="H201" s="721">
        <f t="shared" si="23"/>
        <v>0</v>
      </c>
      <c r="I201" s="80"/>
      <c r="J201" s="80"/>
      <c r="K201" s="80"/>
      <c r="L201" s="80"/>
    </row>
    <row r="202" spans="1:12" s="27" customFormat="1" ht="15" customHeight="1" x14ac:dyDescent="0.2">
      <c r="A202" s="1440"/>
      <c r="B202" s="1440"/>
      <c r="C202" s="1440"/>
      <c r="D202" s="1451"/>
      <c r="E202" s="713" t="s">
        <v>303</v>
      </c>
      <c r="F202" s="721">
        <f t="shared" ref="F202:G203" si="29">F206+F210</f>
        <v>0</v>
      </c>
      <c r="G202" s="721">
        <f t="shared" si="29"/>
        <v>0</v>
      </c>
      <c r="H202" s="721">
        <f t="shared" si="23"/>
        <v>0</v>
      </c>
      <c r="I202" s="80"/>
      <c r="J202" s="80"/>
      <c r="K202" s="80"/>
      <c r="L202" s="80"/>
    </row>
    <row r="203" spans="1:12" s="27" customFormat="1" ht="15" customHeight="1" x14ac:dyDescent="0.2">
      <c r="A203" s="1440"/>
      <c r="B203" s="1440"/>
      <c r="C203" s="1440"/>
      <c r="D203" s="1451"/>
      <c r="E203" s="713" t="s">
        <v>304</v>
      </c>
      <c r="F203" s="721">
        <f t="shared" si="29"/>
        <v>0</v>
      </c>
      <c r="G203" s="721">
        <f t="shared" si="29"/>
        <v>0</v>
      </c>
      <c r="H203" s="721">
        <f t="shared" si="23"/>
        <v>0</v>
      </c>
      <c r="I203" s="80"/>
      <c r="J203" s="80"/>
      <c r="K203" s="80"/>
      <c r="L203" s="80"/>
    </row>
    <row r="204" spans="1:12" s="27" customFormat="1" ht="15" customHeight="1" x14ac:dyDescent="0.2">
      <c r="A204" s="1440"/>
      <c r="B204" s="1440"/>
      <c r="C204" s="1440"/>
      <c r="D204" s="1451" t="s">
        <v>54</v>
      </c>
      <c r="E204" s="117" t="s">
        <v>65</v>
      </c>
      <c r="F204" s="721"/>
      <c r="G204" s="721"/>
      <c r="H204" s="721"/>
      <c r="I204" s="80"/>
      <c r="J204" s="80"/>
      <c r="K204" s="80"/>
      <c r="L204" s="80"/>
    </row>
    <row r="205" spans="1:12" s="27" customFormat="1" ht="15" customHeight="1" x14ac:dyDescent="0.2">
      <c r="A205" s="1440"/>
      <c r="B205" s="1440"/>
      <c r="C205" s="1440"/>
      <c r="D205" s="1451"/>
      <c r="E205" s="713" t="s">
        <v>302</v>
      </c>
      <c r="F205" s="721"/>
      <c r="G205" s="721"/>
      <c r="H205" s="721">
        <f t="shared" si="23"/>
        <v>0</v>
      </c>
      <c r="I205" s="80"/>
      <c r="J205" s="80"/>
      <c r="K205" s="80"/>
      <c r="L205" s="80"/>
    </row>
    <row r="206" spans="1:12" s="27" customFormat="1" ht="15" customHeight="1" x14ac:dyDescent="0.2">
      <c r="A206" s="1440"/>
      <c r="B206" s="1440"/>
      <c r="C206" s="1440"/>
      <c r="D206" s="1451"/>
      <c r="E206" s="713" t="s">
        <v>303</v>
      </c>
      <c r="F206" s="721"/>
      <c r="G206" s="721"/>
      <c r="H206" s="721">
        <f t="shared" si="23"/>
        <v>0</v>
      </c>
      <c r="I206" s="80"/>
      <c r="J206" s="80"/>
      <c r="K206" s="80"/>
      <c r="L206" s="80"/>
    </row>
    <row r="207" spans="1:12" s="27" customFormat="1" ht="15" customHeight="1" x14ac:dyDescent="0.2">
      <c r="A207" s="1440"/>
      <c r="B207" s="1440"/>
      <c r="C207" s="1440"/>
      <c r="D207" s="1451"/>
      <c r="E207" s="713" t="s">
        <v>304</v>
      </c>
      <c r="F207" s="721"/>
      <c r="G207" s="721"/>
      <c r="H207" s="721">
        <f t="shared" si="23"/>
        <v>0</v>
      </c>
      <c r="I207" s="80"/>
      <c r="J207" s="80"/>
      <c r="K207" s="80"/>
      <c r="L207" s="80"/>
    </row>
    <row r="208" spans="1:12" s="27" customFormat="1" ht="15" customHeight="1" x14ac:dyDescent="0.2">
      <c r="A208" s="1440"/>
      <c r="B208" s="1440"/>
      <c r="C208" s="1440"/>
      <c r="D208" s="1451" t="s">
        <v>55</v>
      </c>
      <c r="E208" s="325" t="s">
        <v>66</v>
      </c>
      <c r="F208" s="721"/>
      <c r="G208" s="721"/>
      <c r="H208" s="721"/>
      <c r="I208" s="80"/>
      <c r="J208" s="80"/>
      <c r="K208" s="80"/>
      <c r="L208" s="80"/>
    </row>
    <row r="209" spans="1:12" s="27" customFormat="1" ht="15" customHeight="1" x14ac:dyDescent="0.2">
      <c r="A209" s="1440"/>
      <c r="B209" s="1440"/>
      <c r="C209" s="1440"/>
      <c r="D209" s="1451"/>
      <c r="E209" s="713" t="s">
        <v>302</v>
      </c>
      <c r="F209" s="721"/>
      <c r="G209" s="721"/>
      <c r="H209" s="721">
        <f t="shared" si="23"/>
        <v>0</v>
      </c>
      <c r="I209" s="80"/>
      <c r="J209" s="80"/>
      <c r="K209" s="80"/>
      <c r="L209" s="80"/>
    </row>
    <row r="210" spans="1:12" s="27" customFormat="1" ht="15" customHeight="1" x14ac:dyDescent="0.2">
      <c r="A210" s="1440"/>
      <c r="B210" s="1440"/>
      <c r="C210" s="1440"/>
      <c r="D210" s="1451"/>
      <c r="E210" s="713" t="s">
        <v>303</v>
      </c>
      <c r="F210" s="721"/>
      <c r="G210" s="721"/>
      <c r="H210" s="721">
        <f t="shared" si="23"/>
        <v>0</v>
      </c>
      <c r="I210" s="80"/>
      <c r="J210" s="80"/>
      <c r="K210" s="80"/>
      <c r="L210" s="80"/>
    </row>
    <row r="211" spans="1:12" s="27" customFormat="1" ht="15" customHeight="1" x14ac:dyDescent="0.2">
      <c r="A211" s="1440"/>
      <c r="B211" s="1440"/>
      <c r="C211" s="1440"/>
      <c r="D211" s="1451"/>
      <c r="E211" s="713" t="s">
        <v>304</v>
      </c>
      <c r="F211" s="721"/>
      <c r="G211" s="721"/>
      <c r="H211" s="721">
        <f t="shared" si="23"/>
        <v>0</v>
      </c>
      <c r="I211" s="80"/>
      <c r="J211" s="80"/>
      <c r="K211" s="80"/>
      <c r="L211" s="80"/>
    </row>
    <row r="212" spans="1:12" s="27" customFormat="1" ht="15" customHeight="1" x14ac:dyDescent="0.2">
      <c r="A212" s="1450">
        <v>5</v>
      </c>
      <c r="B212" s="1450"/>
      <c r="C212" s="1450" t="s">
        <v>174</v>
      </c>
      <c r="D212" s="1450"/>
      <c r="E212" s="736" t="s">
        <v>172</v>
      </c>
      <c r="F212" s="720"/>
      <c r="G212" s="720"/>
      <c r="H212" s="720"/>
      <c r="I212" s="80"/>
      <c r="J212" s="80"/>
      <c r="K212" s="80"/>
      <c r="L212" s="80"/>
    </row>
    <row r="213" spans="1:12" s="27" customFormat="1" ht="15" customHeight="1" x14ac:dyDescent="0.2">
      <c r="A213" s="1450"/>
      <c r="B213" s="1450"/>
      <c r="C213" s="1450"/>
      <c r="D213" s="1450"/>
      <c r="E213" s="712" t="s">
        <v>302</v>
      </c>
      <c r="F213" s="720">
        <f>F217+F221</f>
        <v>9414888</v>
      </c>
      <c r="G213" s="720">
        <f>G217+G221</f>
        <v>0</v>
      </c>
      <c r="H213" s="720">
        <f t="shared" si="23"/>
        <v>9414888</v>
      </c>
      <c r="I213" s="80"/>
      <c r="J213" s="80"/>
      <c r="K213" s="80"/>
      <c r="L213" s="80"/>
    </row>
    <row r="214" spans="1:12" s="27" customFormat="1" ht="15" customHeight="1" x14ac:dyDescent="0.2">
      <c r="A214" s="1450"/>
      <c r="B214" s="1450"/>
      <c r="C214" s="1450"/>
      <c r="D214" s="1450"/>
      <c r="E214" s="712" t="s">
        <v>303</v>
      </c>
      <c r="F214" s="720">
        <f t="shared" ref="F214:G215" si="30">F218+F222</f>
        <v>9414888</v>
      </c>
      <c r="G214" s="720">
        <f t="shared" si="30"/>
        <v>0</v>
      </c>
      <c r="H214" s="720">
        <f t="shared" si="23"/>
        <v>9414888</v>
      </c>
      <c r="I214" s="80"/>
      <c r="J214" s="80"/>
      <c r="K214" s="80"/>
      <c r="L214" s="80"/>
    </row>
    <row r="215" spans="1:12" s="27" customFormat="1" ht="15" customHeight="1" x14ac:dyDescent="0.2">
      <c r="A215" s="1450"/>
      <c r="B215" s="1450"/>
      <c r="C215" s="1450"/>
      <c r="D215" s="1450"/>
      <c r="E215" s="712" t="s">
        <v>304</v>
      </c>
      <c r="F215" s="720">
        <f t="shared" si="30"/>
        <v>7250543</v>
      </c>
      <c r="G215" s="720">
        <f t="shared" si="30"/>
        <v>0</v>
      </c>
      <c r="H215" s="720">
        <f t="shared" si="23"/>
        <v>7250543</v>
      </c>
      <c r="I215" s="80"/>
      <c r="J215" s="80"/>
      <c r="K215" s="80"/>
      <c r="L215" s="80"/>
    </row>
    <row r="216" spans="1:12" s="27" customFormat="1" ht="15" customHeight="1" x14ac:dyDescent="0.2">
      <c r="A216" s="1450"/>
      <c r="B216" s="1450"/>
      <c r="C216" s="1450"/>
      <c r="D216" s="1450" t="s">
        <v>54</v>
      </c>
      <c r="E216" s="734" t="s">
        <v>65</v>
      </c>
      <c r="F216" s="720"/>
      <c r="G216" s="720"/>
      <c r="H216" s="720"/>
      <c r="I216" s="80"/>
      <c r="J216" s="80"/>
      <c r="K216" s="80"/>
      <c r="L216" s="80"/>
    </row>
    <row r="217" spans="1:12" s="27" customFormat="1" ht="15" customHeight="1" x14ac:dyDescent="0.2">
      <c r="A217" s="1450"/>
      <c r="B217" s="1450"/>
      <c r="C217" s="1450"/>
      <c r="D217" s="1450"/>
      <c r="E217" s="712" t="s">
        <v>302</v>
      </c>
      <c r="F217" s="720">
        <f>F229+F241+F253</f>
        <v>7005183</v>
      </c>
      <c r="G217" s="720">
        <f>G229+G241+G253</f>
        <v>0</v>
      </c>
      <c r="H217" s="720">
        <f t="shared" si="23"/>
        <v>7005183</v>
      </c>
      <c r="I217" s="80"/>
      <c r="J217" s="80"/>
      <c r="K217" s="80"/>
      <c r="L217" s="80"/>
    </row>
    <row r="218" spans="1:12" s="27" customFormat="1" ht="15" customHeight="1" x14ac:dyDescent="0.2">
      <c r="A218" s="1450"/>
      <c r="B218" s="1450"/>
      <c r="C218" s="1450"/>
      <c r="D218" s="1450"/>
      <c r="E218" s="712" t="s">
        <v>303</v>
      </c>
      <c r="F218" s="720">
        <f t="shared" ref="F218:G219" si="31">F230+F242+F254</f>
        <v>7005183</v>
      </c>
      <c r="G218" s="720">
        <f t="shared" si="31"/>
        <v>0</v>
      </c>
      <c r="H218" s="720">
        <f t="shared" si="23"/>
        <v>7005183</v>
      </c>
      <c r="I218" s="80"/>
      <c r="J218" s="80"/>
      <c r="K218" s="80"/>
      <c r="L218" s="80"/>
    </row>
    <row r="219" spans="1:12" s="27" customFormat="1" ht="15" customHeight="1" x14ac:dyDescent="0.2">
      <c r="A219" s="1450"/>
      <c r="B219" s="1450"/>
      <c r="C219" s="1450"/>
      <c r="D219" s="1450"/>
      <c r="E219" s="712" t="s">
        <v>304</v>
      </c>
      <c r="F219" s="720">
        <f t="shared" si="31"/>
        <v>7250543</v>
      </c>
      <c r="G219" s="720">
        <f t="shared" si="31"/>
        <v>0</v>
      </c>
      <c r="H219" s="720">
        <f t="shared" si="23"/>
        <v>7250543</v>
      </c>
      <c r="I219" s="80"/>
      <c r="J219" s="80"/>
      <c r="K219" s="80"/>
      <c r="L219" s="80"/>
    </row>
    <row r="220" spans="1:12" s="27" customFormat="1" ht="15" customHeight="1" x14ac:dyDescent="0.2">
      <c r="A220" s="1450"/>
      <c r="B220" s="1450"/>
      <c r="C220" s="1450"/>
      <c r="D220" s="1450" t="s">
        <v>55</v>
      </c>
      <c r="E220" s="735" t="s">
        <v>66</v>
      </c>
      <c r="F220" s="720"/>
      <c r="G220" s="720"/>
      <c r="H220" s="720"/>
      <c r="I220" s="80"/>
      <c r="J220" s="80"/>
      <c r="K220" s="80"/>
      <c r="L220" s="80"/>
    </row>
    <row r="221" spans="1:12" s="27" customFormat="1" ht="15" customHeight="1" x14ac:dyDescent="0.2">
      <c r="A221" s="1450"/>
      <c r="B221" s="1450"/>
      <c r="C221" s="1450"/>
      <c r="D221" s="1450"/>
      <c r="E221" s="712" t="s">
        <v>302</v>
      </c>
      <c r="F221" s="720">
        <f>F233+F245+F257</f>
        <v>2409705</v>
      </c>
      <c r="G221" s="720">
        <f>G233+G245+G257</f>
        <v>0</v>
      </c>
      <c r="H221" s="720">
        <f t="shared" si="23"/>
        <v>2409705</v>
      </c>
      <c r="I221" s="80"/>
      <c r="J221" s="80"/>
      <c r="K221" s="80"/>
      <c r="L221" s="80"/>
    </row>
    <row r="222" spans="1:12" s="27" customFormat="1" ht="15" customHeight="1" x14ac:dyDescent="0.2">
      <c r="A222" s="1450"/>
      <c r="B222" s="1450"/>
      <c r="C222" s="1450"/>
      <c r="D222" s="1450"/>
      <c r="E222" s="712" t="s">
        <v>303</v>
      </c>
      <c r="F222" s="720">
        <f t="shared" ref="F222:F223" si="32">F234+F246+F258</f>
        <v>2409705</v>
      </c>
      <c r="G222" s="720">
        <f t="shared" ref="G222" si="33">G234+G246+G258</f>
        <v>0</v>
      </c>
      <c r="H222" s="720">
        <f t="shared" si="23"/>
        <v>2409705</v>
      </c>
      <c r="I222" s="80"/>
      <c r="J222" s="80"/>
      <c r="K222" s="80"/>
      <c r="L222" s="80"/>
    </row>
    <row r="223" spans="1:12" s="27" customFormat="1" ht="15" customHeight="1" x14ac:dyDescent="0.2">
      <c r="A223" s="1450"/>
      <c r="B223" s="1450"/>
      <c r="C223" s="1450"/>
      <c r="D223" s="1450"/>
      <c r="E223" s="712" t="s">
        <v>304</v>
      </c>
      <c r="F223" s="720">
        <f t="shared" si="32"/>
        <v>0</v>
      </c>
      <c r="G223" s="720">
        <f t="shared" ref="G223" si="34">G235+G247+G259</f>
        <v>0</v>
      </c>
      <c r="H223" s="720">
        <f t="shared" si="23"/>
        <v>0</v>
      </c>
      <c r="I223" s="80"/>
      <c r="J223" s="80"/>
      <c r="K223" s="80"/>
      <c r="L223" s="80"/>
    </row>
    <row r="224" spans="1:12" s="27" customFormat="1" ht="15" customHeight="1" x14ac:dyDescent="0.2">
      <c r="A224" s="1419"/>
      <c r="B224" s="1452"/>
      <c r="C224" s="1420"/>
      <c r="D224" s="1451"/>
      <c r="E224" s="737" t="s">
        <v>211</v>
      </c>
      <c r="F224" s="721"/>
      <c r="G224" s="721"/>
      <c r="H224" s="721"/>
      <c r="I224" s="80"/>
      <c r="J224" s="80"/>
      <c r="K224" s="80"/>
      <c r="L224" s="80"/>
    </row>
    <row r="225" spans="1:12" s="27" customFormat="1" ht="15" customHeight="1" x14ac:dyDescent="0.2">
      <c r="A225" s="1421"/>
      <c r="B225" s="1453"/>
      <c r="C225" s="1422"/>
      <c r="D225" s="1451"/>
      <c r="E225" s="713" t="s">
        <v>302</v>
      </c>
      <c r="F225" s="721">
        <f>F229+F233</f>
        <v>0</v>
      </c>
      <c r="G225" s="721">
        <f>G229+G233</f>
        <v>0</v>
      </c>
      <c r="H225" s="721">
        <f t="shared" si="23"/>
        <v>0</v>
      </c>
      <c r="I225" s="80"/>
      <c r="J225" s="80"/>
      <c r="K225" s="80"/>
      <c r="L225" s="80"/>
    </row>
    <row r="226" spans="1:12" s="27" customFormat="1" ht="15" customHeight="1" x14ac:dyDescent="0.2">
      <c r="A226" s="1421"/>
      <c r="B226" s="1453"/>
      <c r="C226" s="1422"/>
      <c r="D226" s="1451"/>
      <c r="E226" s="713" t="s">
        <v>303</v>
      </c>
      <c r="F226" s="721">
        <f t="shared" ref="F226:F227" si="35">F230+F234</f>
        <v>0</v>
      </c>
      <c r="G226" s="721">
        <f t="shared" ref="G226:G227" si="36">G230+G234</f>
        <v>0</v>
      </c>
      <c r="H226" s="721">
        <f t="shared" si="23"/>
        <v>0</v>
      </c>
      <c r="I226" s="80"/>
      <c r="J226" s="80"/>
      <c r="K226" s="80"/>
      <c r="L226" s="80"/>
    </row>
    <row r="227" spans="1:12" s="27" customFormat="1" ht="15" customHeight="1" x14ac:dyDescent="0.2">
      <c r="A227" s="1421"/>
      <c r="B227" s="1453"/>
      <c r="C227" s="1422"/>
      <c r="D227" s="1451"/>
      <c r="E227" s="713" t="s">
        <v>304</v>
      </c>
      <c r="F227" s="721">
        <f t="shared" si="35"/>
        <v>0</v>
      </c>
      <c r="G227" s="721">
        <f t="shared" si="36"/>
        <v>0</v>
      </c>
      <c r="H227" s="721">
        <f t="shared" si="23"/>
        <v>0</v>
      </c>
      <c r="I227" s="80"/>
      <c r="J227" s="80"/>
      <c r="K227" s="80"/>
      <c r="L227" s="80"/>
    </row>
    <row r="228" spans="1:12" s="27" customFormat="1" ht="15" customHeight="1" x14ac:dyDescent="0.2">
      <c r="A228" s="1421"/>
      <c r="B228" s="1453"/>
      <c r="C228" s="1422"/>
      <c r="D228" s="1451" t="s">
        <v>54</v>
      </c>
      <c r="E228" s="117" t="s">
        <v>65</v>
      </c>
      <c r="F228" s="721"/>
      <c r="G228" s="721"/>
      <c r="H228" s="721"/>
      <c r="I228" s="80"/>
      <c r="J228" s="80"/>
      <c r="K228" s="80"/>
      <c r="L228" s="80"/>
    </row>
    <row r="229" spans="1:12" s="27" customFormat="1" ht="15" customHeight="1" x14ac:dyDescent="0.2">
      <c r="A229" s="1421"/>
      <c r="B229" s="1453"/>
      <c r="C229" s="1422"/>
      <c r="D229" s="1451"/>
      <c r="E229" s="713" t="s">
        <v>302</v>
      </c>
      <c r="F229" s="721"/>
      <c r="G229" s="721"/>
      <c r="H229" s="721">
        <f t="shared" si="23"/>
        <v>0</v>
      </c>
      <c r="I229" s="80"/>
      <c r="J229" s="80"/>
      <c r="K229" s="80"/>
      <c r="L229" s="80"/>
    </row>
    <row r="230" spans="1:12" s="27" customFormat="1" ht="15" customHeight="1" x14ac:dyDescent="0.2">
      <c r="A230" s="1421"/>
      <c r="B230" s="1453"/>
      <c r="C230" s="1422"/>
      <c r="D230" s="1451"/>
      <c r="E230" s="713" t="s">
        <v>303</v>
      </c>
      <c r="F230" s="721"/>
      <c r="G230" s="721"/>
      <c r="H230" s="721">
        <f t="shared" si="23"/>
        <v>0</v>
      </c>
      <c r="I230" s="80"/>
      <c r="J230" s="80"/>
      <c r="K230" s="80"/>
      <c r="L230" s="80"/>
    </row>
    <row r="231" spans="1:12" s="27" customFormat="1" ht="15" customHeight="1" x14ac:dyDescent="0.2">
      <c r="A231" s="1421"/>
      <c r="B231" s="1453"/>
      <c r="C231" s="1422"/>
      <c r="D231" s="1451"/>
      <c r="E231" s="713" t="s">
        <v>304</v>
      </c>
      <c r="F231" s="721"/>
      <c r="G231" s="721"/>
      <c r="H231" s="721">
        <f t="shared" si="23"/>
        <v>0</v>
      </c>
      <c r="I231" s="80"/>
      <c r="J231" s="80"/>
      <c r="K231" s="80"/>
      <c r="L231" s="80"/>
    </row>
    <row r="232" spans="1:12" s="27" customFormat="1" ht="15" customHeight="1" x14ac:dyDescent="0.2">
      <c r="A232" s="1421"/>
      <c r="B232" s="1453"/>
      <c r="C232" s="1422"/>
      <c r="D232" s="1451" t="s">
        <v>55</v>
      </c>
      <c r="E232" s="325" t="s">
        <v>66</v>
      </c>
      <c r="F232" s="721"/>
      <c r="G232" s="721"/>
      <c r="H232" s="721"/>
      <c r="I232" s="80"/>
      <c r="J232" s="80"/>
      <c r="K232" s="80"/>
      <c r="L232" s="80"/>
    </row>
    <row r="233" spans="1:12" s="27" customFormat="1" ht="15" customHeight="1" x14ac:dyDescent="0.2">
      <c r="A233" s="1421"/>
      <c r="B233" s="1453"/>
      <c r="C233" s="1422"/>
      <c r="D233" s="1451"/>
      <c r="E233" s="713" t="s">
        <v>302</v>
      </c>
      <c r="F233" s="721"/>
      <c r="G233" s="721"/>
      <c r="H233" s="721">
        <f t="shared" si="23"/>
        <v>0</v>
      </c>
      <c r="I233" s="80"/>
      <c r="J233" s="80"/>
      <c r="K233" s="80"/>
      <c r="L233" s="80"/>
    </row>
    <row r="234" spans="1:12" s="27" customFormat="1" ht="15" customHeight="1" x14ac:dyDescent="0.2">
      <c r="A234" s="1421"/>
      <c r="B234" s="1453"/>
      <c r="C234" s="1422"/>
      <c r="D234" s="1451"/>
      <c r="E234" s="713" t="s">
        <v>303</v>
      </c>
      <c r="F234" s="721"/>
      <c r="G234" s="721"/>
      <c r="H234" s="721">
        <f t="shared" si="23"/>
        <v>0</v>
      </c>
      <c r="I234" s="80"/>
      <c r="J234" s="80"/>
      <c r="K234" s="80"/>
      <c r="L234" s="80"/>
    </row>
    <row r="235" spans="1:12" s="27" customFormat="1" ht="15" customHeight="1" x14ac:dyDescent="0.2">
      <c r="A235" s="1421"/>
      <c r="B235" s="1453"/>
      <c r="C235" s="1422"/>
      <c r="D235" s="1451"/>
      <c r="E235" s="713" t="s">
        <v>304</v>
      </c>
      <c r="F235" s="721"/>
      <c r="G235" s="721"/>
      <c r="H235" s="721">
        <f t="shared" si="23"/>
        <v>0</v>
      </c>
      <c r="I235" s="80"/>
      <c r="J235" s="80"/>
      <c r="K235" s="80"/>
      <c r="L235" s="80"/>
    </row>
    <row r="236" spans="1:12" s="27" customFormat="1" ht="15" customHeight="1" x14ac:dyDescent="0.2">
      <c r="A236" s="1421"/>
      <c r="B236" s="1453"/>
      <c r="C236" s="1422"/>
      <c r="D236" s="1451"/>
      <c r="E236" s="737" t="s">
        <v>191</v>
      </c>
      <c r="F236" s="721"/>
      <c r="G236" s="721"/>
      <c r="H236" s="721"/>
      <c r="I236" s="80"/>
      <c r="J236" s="80"/>
      <c r="K236" s="80"/>
      <c r="L236" s="80"/>
    </row>
    <row r="237" spans="1:12" s="27" customFormat="1" ht="15" customHeight="1" x14ac:dyDescent="0.2">
      <c r="A237" s="1421"/>
      <c r="B237" s="1453"/>
      <c r="C237" s="1422"/>
      <c r="D237" s="1451"/>
      <c r="E237" s="713" t="s">
        <v>302</v>
      </c>
      <c r="F237" s="730">
        <f>F241+F245</f>
        <v>9414888</v>
      </c>
      <c r="G237" s="730">
        <f>G241+G245</f>
        <v>0</v>
      </c>
      <c r="H237" s="721">
        <f>G237</f>
        <v>0</v>
      </c>
      <c r="I237" s="80"/>
      <c r="J237" s="80"/>
      <c r="K237" s="80"/>
      <c r="L237" s="80"/>
    </row>
    <row r="238" spans="1:12" s="27" customFormat="1" ht="15" customHeight="1" x14ac:dyDescent="0.2">
      <c r="A238" s="1421"/>
      <c r="B238" s="1453"/>
      <c r="C238" s="1422"/>
      <c r="D238" s="1451"/>
      <c r="E238" s="713" t="s">
        <v>303</v>
      </c>
      <c r="F238" s="730">
        <f t="shared" ref="F238:G239" si="37">F242+F246</f>
        <v>9414888</v>
      </c>
      <c r="G238" s="730">
        <f t="shared" si="37"/>
        <v>0</v>
      </c>
      <c r="H238" s="721">
        <f t="shared" si="23"/>
        <v>9414888</v>
      </c>
      <c r="I238" s="80"/>
      <c r="J238" s="80"/>
      <c r="K238" s="80"/>
      <c r="L238" s="80"/>
    </row>
    <row r="239" spans="1:12" s="27" customFormat="1" ht="15" customHeight="1" x14ac:dyDescent="0.2">
      <c r="A239" s="1421"/>
      <c r="B239" s="1453"/>
      <c r="C239" s="1422"/>
      <c r="D239" s="1451"/>
      <c r="E239" s="713" t="s">
        <v>304</v>
      </c>
      <c r="F239" s="730">
        <f t="shared" si="37"/>
        <v>7250543</v>
      </c>
      <c r="G239" s="730">
        <f t="shared" si="37"/>
        <v>0</v>
      </c>
      <c r="H239" s="721">
        <f t="shared" si="23"/>
        <v>7250543</v>
      </c>
      <c r="I239" s="80"/>
      <c r="J239" s="80"/>
      <c r="K239" s="80"/>
      <c r="L239" s="80"/>
    </row>
    <row r="240" spans="1:12" s="27" customFormat="1" ht="15" customHeight="1" x14ac:dyDescent="0.2">
      <c r="A240" s="1421"/>
      <c r="B240" s="1453"/>
      <c r="C240" s="1422"/>
      <c r="D240" s="1451" t="s">
        <v>54</v>
      </c>
      <c r="E240" s="117" t="s">
        <v>65</v>
      </c>
      <c r="F240" s="721"/>
      <c r="G240" s="721"/>
      <c r="H240" s="721"/>
      <c r="I240" s="80"/>
      <c r="J240" s="80"/>
      <c r="K240" s="80"/>
      <c r="L240" s="80"/>
    </row>
    <row r="241" spans="1:12" s="27" customFormat="1" ht="15" customHeight="1" x14ac:dyDescent="0.2">
      <c r="A241" s="1421"/>
      <c r="B241" s="1453"/>
      <c r="C241" s="1422"/>
      <c r="D241" s="1451"/>
      <c r="E241" s="713" t="s">
        <v>302</v>
      </c>
      <c r="F241" s="721">
        <v>7005183</v>
      </c>
      <c r="G241" s="721"/>
      <c r="H241" s="721">
        <f t="shared" si="23"/>
        <v>7005183</v>
      </c>
      <c r="I241" s="80"/>
      <c r="J241" s="80"/>
      <c r="K241" s="80"/>
      <c r="L241" s="80"/>
    </row>
    <row r="242" spans="1:12" s="27" customFormat="1" ht="15" customHeight="1" x14ac:dyDescent="0.2">
      <c r="A242" s="1421"/>
      <c r="B242" s="1453"/>
      <c r="C242" s="1422"/>
      <c r="D242" s="1451"/>
      <c r="E242" s="713" t="s">
        <v>303</v>
      </c>
      <c r="F242" s="721">
        <v>7005183</v>
      </c>
      <c r="G242" s="721"/>
      <c r="H242" s="721">
        <f t="shared" si="23"/>
        <v>7005183</v>
      </c>
      <c r="I242" s="80"/>
      <c r="J242" s="80"/>
      <c r="K242" s="80"/>
      <c r="L242" s="80"/>
    </row>
    <row r="243" spans="1:12" s="27" customFormat="1" ht="15" customHeight="1" x14ac:dyDescent="0.2">
      <c r="A243" s="1421"/>
      <c r="B243" s="1453"/>
      <c r="C243" s="1422"/>
      <c r="D243" s="1451"/>
      <c r="E243" s="713" t="s">
        <v>304</v>
      </c>
      <c r="F243" s="721">
        <f>1217282+5538261+495000</f>
        <v>7250543</v>
      </c>
      <c r="G243" s="721"/>
      <c r="H243" s="721">
        <f t="shared" si="23"/>
        <v>7250543</v>
      </c>
      <c r="I243" s="80"/>
      <c r="J243" s="80"/>
      <c r="K243" s="80"/>
      <c r="L243" s="80"/>
    </row>
    <row r="244" spans="1:12" s="27" customFormat="1" ht="15" customHeight="1" x14ac:dyDescent="0.2">
      <c r="A244" s="1421"/>
      <c r="B244" s="1453"/>
      <c r="C244" s="1422"/>
      <c r="D244" s="1451" t="s">
        <v>55</v>
      </c>
      <c r="E244" s="325" t="s">
        <v>66</v>
      </c>
      <c r="F244" s="721"/>
      <c r="G244" s="721"/>
      <c r="H244" s="721">
        <f t="shared" si="23"/>
        <v>0</v>
      </c>
      <c r="I244" s="80"/>
      <c r="J244" s="80"/>
      <c r="K244" s="80"/>
      <c r="L244" s="80"/>
    </row>
    <row r="245" spans="1:12" s="27" customFormat="1" ht="15" customHeight="1" x14ac:dyDescent="0.2">
      <c r="A245" s="1421"/>
      <c r="B245" s="1453"/>
      <c r="C245" s="1422"/>
      <c r="D245" s="1451"/>
      <c r="E245" s="713" t="s">
        <v>302</v>
      </c>
      <c r="F245" s="721">
        <v>2409705</v>
      </c>
      <c r="G245" s="721"/>
      <c r="H245" s="721">
        <f t="shared" si="23"/>
        <v>2409705</v>
      </c>
      <c r="I245" s="80"/>
      <c r="J245" s="80"/>
      <c r="K245" s="80"/>
      <c r="L245" s="80"/>
    </row>
    <row r="246" spans="1:12" s="27" customFormat="1" ht="15" customHeight="1" x14ac:dyDescent="0.2">
      <c r="A246" s="1421"/>
      <c r="B246" s="1453"/>
      <c r="C246" s="1422"/>
      <c r="D246" s="1451"/>
      <c r="E246" s="713" t="s">
        <v>303</v>
      </c>
      <c r="F246" s="721">
        <v>2409705</v>
      </c>
      <c r="G246" s="721"/>
      <c r="H246" s="721">
        <f t="shared" si="23"/>
        <v>2409705</v>
      </c>
      <c r="I246" s="80"/>
      <c r="J246" s="80"/>
      <c r="K246" s="80"/>
      <c r="L246" s="80"/>
    </row>
    <row r="247" spans="1:12" s="27" customFormat="1" ht="15" customHeight="1" x14ac:dyDescent="0.2">
      <c r="A247" s="1421"/>
      <c r="B247" s="1453"/>
      <c r="C247" s="1422"/>
      <c r="D247" s="1451"/>
      <c r="E247" s="713" t="s">
        <v>304</v>
      </c>
      <c r="F247" s="721">
        <v>0</v>
      </c>
      <c r="G247" s="721"/>
      <c r="H247" s="721">
        <f t="shared" si="23"/>
        <v>0</v>
      </c>
      <c r="I247" s="80"/>
      <c r="J247" s="80"/>
      <c r="K247" s="80"/>
      <c r="L247" s="80"/>
    </row>
    <row r="248" spans="1:12" s="27" customFormat="1" ht="15" customHeight="1" x14ac:dyDescent="0.2">
      <c r="A248" s="1421"/>
      <c r="B248" s="1453"/>
      <c r="C248" s="1422"/>
      <c r="D248" s="1451"/>
      <c r="E248" s="737" t="s">
        <v>192</v>
      </c>
      <c r="F248" s="721"/>
      <c r="G248" s="721"/>
      <c r="H248" s="721"/>
      <c r="I248" s="80"/>
      <c r="J248" s="80"/>
      <c r="K248" s="80"/>
      <c r="L248" s="80"/>
    </row>
    <row r="249" spans="1:12" s="27" customFormat="1" ht="15" customHeight="1" x14ac:dyDescent="0.2">
      <c r="A249" s="1421"/>
      <c r="B249" s="1453"/>
      <c r="C249" s="1422"/>
      <c r="D249" s="1451"/>
      <c r="E249" s="713" t="s">
        <v>302</v>
      </c>
      <c r="F249" s="721">
        <f>F253+F257</f>
        <v>0</v>
      </c>
      <c r="G249" s="721">
        <f>G253+G257</f>
        <v>0</v>
      </c>
      <c r="H249" s="721">
        <f t="shared" si="23"/>
        <v>0</v>
      </c>
      <c r="I249" s="80"/>
      <c r="J249" s="80"/>
      <c r="K249" s="80"/>
      <c r="L249" s="80"/>
    </row>
    <row r="250" spans="1:12" s="27" customFormat="1" ht="15" customHeight="1" x14ac:dyDescent="0.2">
      <c r="A250" s="1421"/>
      <c r="B250" s="1453"/>
      <c r="C250" s="1422"/>
      <c r="D250" s="1451"/>
      <c r="E250" s="713" t="s">
        <v>303</v>
      </c>
      <c r="F250" s="721">
        <f t="shared" ref="F250:G251" si="38">F254+F258</f>
        <v>0</v>
      </c>
      <c r="G250" s="721">
        <f t="shared" si="38"/>
        <v>0</v>
      </c>
      <c r="H250" s="721">
        <f t="shared" si="23"/>
        <v>0</v>
      </c>
      <c r="I250" s="80"/>
      <c r="J250" s="80"/>
      <c r="K250" s="80"/>
      <c r="L250" s="80"/>
    </row>
    <row r="251" spans="1:12" s="27" customFormat="1" ht="15" customHeight="1" x14ac:dyDescent="0.2">
      <c r="A251" s="1421"/>
      <c r="B251" s="1453"/>
      <c r="C251" s="1422"/>
      <c r="D251" s="1451"/>
      <c r="E251" s="713" t="s">
        <v>304</v>
      </c>
      <c r="F251" s="721">
        <f t="shared" si="38"/>
        <v>0</v>
      </c>
      <c r="G251" s="721">
        <f t="shared" si="38"/>
        <v>0</v>
      </c>
      <c r="H251" s="721">
        <f t="shared" si="23"/>
        <v>0</v>
      </c>
      <c r="I251" s="80"/>
      <c r="J251" s="80"/>
      <c r="K251" s="80"/>
      <c r="L251" s="80"/>
    </row>
    <row r="252" spans="1:12" s="27" customFormat="1" ht="15" customHeight="1" x14ac:dyDescent="0.2">
      <c r="A252" s="1421"/>
      <c r="B252" s="1453"/>
      <c r="C252" s="1422"/>
      <c r="D252" s="1451" t="s">
        <v>54</v>
      </c>
      <c r="E252" s="117" t="s">
        <v>65</v>
      </c>
      <c r="F252" s="721"/>
      <c r="G252" s="721"/>
      <c r="H252" s="721"/>
      <c r="I252" s="80"/>
      <c r="J252" s="80"/>
      <c r="K252" s="80"/>
      <c r="L252" s="80"/>
    </row>
    <row r="253" spans="1:12" s="27" customFormat="1" ht="15" customHeight="1" x14ac:dyDescent="0.2">
      <c r="A253" s="1421"/>
      <c r="B253" s="1453"/>
      <c r="C253" s="1422"/>
      <c r="D253" s="1451"/>
      <c r="E253" s="713" t="s">
        <v>302</v>
      </c>
      <c r="F253" s="721"/>
      <c r="G253" s="721"/>
      <c r="H253" s="721">
        <f t="shared" si="23"/>
        <v>0</v>
      </c>
      <c r="I253" s="80"/>
      <c r="J253" s="80"/>
      <c r="K253" s="80"/>
      <c r="L253" s="80"/>
    </row>
    <row r="254" spans="1:12" s="27" customFormat="1" ht="15" customHeight="1" x14ac:dyDescent="0.2">
      <c r="A254" s="1421"/>
      <c r="B254" s="1453"/>
      <c r="C254" s="1422"/>
      <c r="D254" s="1451"/>
      <c r="E254" s="713" t="s">
        <v>303</v>
      </c>
      <c r="F254" s="721"/>
      <c r="G254" s="721"/>
      <c r="H254" s="721">
        <f t="shared" si="23"/>
        <v>0</v>
      </c>
      <c r="I254" s="80"/>
      <c r="J254" s="80"/>
      <c r="K254" s="80"/>
      <c r="L254" s="80"/>
    </row>
    <row r="255" spans="1:12" s="27" customFormat="1" ht="15" customHeight="1" x14ac:dyDescent="0.2">
      <c r="A255" s="1421"/>
      <c r="B255" s="1453"/>
      <c r="C255" s="1422"/>
      <c r="D255" s="1451"/>
      <c r="E255" s="713" t="s">
        <v>304</v>
      </c>
      <c r="F255" s="721"/>
      <c r="G255" s="721"/>
      <c r="H255" s="721">
        <f t="shared" si="23"/>
        <v>0</v>
      </c>
      <c r="I255" s="80"/>
      <c r="J255" s="80"/>
      <c r="K255" s="80"/>
      <c r="L255" s="80"/>
    </row>
    <row r="256" spans="1:12" s="27" customFormat="1" ht="15" customHeight="1" x14ac:dyDescent="0.2">
      <c r="A256" s="1421"/>
      <c r="B256" s="1453"/>
      <c r="C256" s="1422"/>
      <c r="D256" s="1451" t="s">
        <v>55</v>
      </c>
      <c r="E256" s="325" t="s">
        <v>66</v>
      </c>
      <c r="F256" s="721"/>
      <c r="G256" s="721"/>
      <c r="H256" s="721"/>
      <c r="I256" s="80"/>
      <c r="J256" s="80"/>
      <c r="K256" s="80"/>
      <c r="L256" s="80"/>
    </row>
    <row r="257" spans="1:12" s="27" customFormat="1" ht="15" customHeight="1" x14ac:dyDescent="0.2">
      <c r="A257" s="1421"/>
      <c r="B257" s="1453"/>
      <c r="C257" s="1422"/>
      <c r="D257" s="1451"/>
      <c r="E257" s="713" t="s">
        <v>302</v>
      </c>
      <c r="F257" s="721"/>
      <c r="G257" s="721"/>
      <c r="H257" s="721">
        <f t="shared" si="23"/>
        <v>0</v>
      </c>
      <c r="I257" s="80"/>
      <c r="J257" s="80"/>
      <c r="K257" s="80"/>
      <c r="L257" s="80"/>
    </row>
    <row r="258" spans="1:12" s="27" customFormat="1" ht="15" customHeight="1" x14ac:dyDescent="0.2">
      <c r="A258" s="1421"/>
      <c r="B258" s="1453"/>
      <c r="C258" s="1422"/>
      <c r="D258" s="1451"/>
      <c r="E258" s="713" t="s">
        <v>303</v>
      </c>
      <c r="F258" s="721"/>
      <c r="G258" s="721"/>
      <c r="H258" s="721">
        <f t="shared" si="23"/>
        <v>0</v>
      </c>
      <c r="I258" s="80"/>
      <c r="J258" s="80"/>
      <c r="K258" s="80"/>
      <c r="L258" s="80"/>
    </row>
    <row r="259" spans="1:12" s="27" customFormat="1" ht="15" customHeight="1" x14ac:dyDescent="0.2">
      <c r="A259" s="1426"/>
      <c r="B259" s="1454"/>
      <c r="C259" s="1427"/>
      <c r="D259" s="1451"/>
      <c r="E259" s="713" t="s">
        <v>304</v>
      </c>
      <c r="F259" s="721"/>
      <c r="G259" s="721"/>
      <c r="H259" s="721">
        <f t="shared" si="23"/>
        <v>0</v>
      </c>
      <c r="I259" s="80"/>
      <c r="J259" s="80"/>
      <c r="K259" s="80"/>
      <c r="L259" s="80"/>
    </row>
    <row r="260" spans="1:12" s="27" customFormat="1" ht="15" customHeight="1" x14ac:dyDescent="0.2">
      <c r="A260" s="1450">
        <v>6</v>
      </c>
      <c r="B260" s="1450"/>
      <c r="C260" s="1450" t="s">
        <v>171</v>
      </c>
      <c r="D260" s="1450"/>
      <c r="E260" s="736" t="s">
        <v>173</v>
      </c>
      <c r="F260" s="720"/>
      <c r="G260" s="720"/>
      <c r="H260" s="720">
        <f t="shared" si="23"/>
        <v>0</v>
      </c>
      <c r="I260" s="80"/>
      <c r="J260" s="80"/>
      <c r="K260" s="80"/>
      <c r="L260" s="80"/>
    </row>
    <row r="261" spans="1:12" s="27" customFormat="1" ht="15" customHeight="1" x14ac:dyDescent="0.2">
      <c r="A261" s="1450"/>
      <c r="B261" s="1450"/>
      <c r="C261" s="1450"/>
      <c r="D261" s="1450"/>
      <c r="E261" s="712" t="s">
        <v>302</v>
      </c>
      <c r="F261" s="720">
        <f>F265+F269</f>
        <v>2220255</v>
      </c>
      <c r="G261" s="720">
        <f>G265+G269</f>
        <v>0</v>
      </c>
      <c r="H261" s="720">
        <f t="shared" si="23"/>
        <v>2220255</v>
      </c>
      <c r="I261" s="80"/>
      <c r="J261" s="80"/>
      <c r="K261" s="80"/>
      <c r="L261" s="80"/>
    </row>
    <row r="262" spans="1:12" s="27" customFormat="1" ht="15" customHeight="1" x14ac:dyDescent="0.2">
      <c r="A262" s="1450"/>
      <c r="B262" s="1450"/>
      <c r="C262" s="1450"/>
      <c r="D262" s="1450"/>
      <c r="E262" s="712" t="s">
        <v>303</v>
      </c>
      <c r="F262" s="720">
        <f t="shared" ref="F262:G263" si="39">F266+F270</f>
        <v>2220255</v>
      </c>
      <c r="G262" s="720">
        <f t="shared" si="39"/>
        <v>0</v>
      </c>
      <c r="H262" s="720">
        <f t="shared" si="23"/>
        <v>2220255</v>
      </c>
      <c r="I262" s="80"/>
      <c r="J262" s="80"/>
      <c r="K262" s="80"/>
      <c r="L262" s="80"/>
    </row>
    <row r="263" spans="1:12" s="27" customFormat="1" ht="15" customHeight="1" x14ac:dyDescent="0.2">
      <c r="A263" s="1450"/>
      <c r="B263" s="1450"/>
      <c r="C263" s="1450"/>
      <c r="D263" s="1450"/>
      <c r="E263" s="712" t="s">
        <v>304</v>
      </c>
      <c r="F263" s="720">
        <f t="shared" si="39"/>
        <v>2430877</v>
      </c>
      <c r="G263" s="720">
        <f t="shared" si="39"/>
        <v>0</v>
      </c>
      <c r="H263" s="720">
        <f t="shared" si="23"/>
        <v>2430877</v>
      </c>
      <c r="I263" s="80"/>
      <c r="J263" s="80"/>
      <c r="K263" s="80"/>
      <c r="L263" s="80"/>
    </row>
    <row r="264" spans="1:12" s="27" customFormat="1" ht="15" customHeight="1" x14ac:dyDescent="0.2">
      <c r="A264" s="1450"/>
      <c r="B264" s="1450"/>
      <c r="C264" s="1450"/>
      <c r="D264" s="1450" t="s">
        <v>54</v>
      </c>
      <c r="E264" s="734" t="s">
        <v>65</v>
      </c>
      <c r="F264" s="720"/>
      <c r="G264" s="720"/>
      <c r="H264" s="720"/>
      <c r="I264" s="80"/>
      <c r="J264" s="80"/>
      <c r="K264" s="80"/>
      <c r="L264" s="80"/>
    </row>
    <row r="265" spans="1:12" s="27" customFormat="1" ht="15" customHeight="1" x14ac:dyDescent="0.2">
      <c r="A265" s="1450"/>
      <c r="B265" s="1450"/>
      <c r="C265" s="1450"/>
      <c r="D265" s="1450"/>
      <c r="E265" s="712" t="s">
        <v>302</v>
      </c>
      <c r="F265" s="720">
        <f>F277+F289+F301</f>
        <v>1641583</v>
      </c>
      <c r="G265" s="720">
        <f>G277+G289+G301</f>
        <v>0</v>
      </c>
      <c r="H265" s="720">
        <f t="shared" si="23"/>
        <v>1641583</v>
      </c>
      <c r="I265" s="80"/>
      <c r="J265" s="80"/>
      <c r="K265" s="80"/>
      <c r="L265" s="80"/>
    </row>
    <row r="266" spans="1:12" s="27" customFormat="1" ht="15" customHeight="1" x14ac:dyDescent="0.2">
      <c r="A266" s="1450"/>
      <c r="B266" s="1450"/>
      <c r="C266" s="1450"/>
      <c r="D266" s="1450"/>
      <c r="E266" s="712" t="s">
        <v>303</v>
      </c>
      <c r="F266" s="720">
        <f t="shared" ref="F266:F267" si="40">F278+F290+F302</f>
        <v>1641583</v>
      </c>
      <c r="G266" s="720">
        <f t="shared" ref="G266:G267" si="41">G278+G290+G302</f>
        <v>0</v>
      </c>
      <c r="H266" s="720">
        <f t="shared" si="23"/>
        <v>1641583</v>
      </c>
      <c r="I266" s="80"/>
      <c r="J266" s="80"/>
      <c r="K266" s="80"/>
      <c r="L266" s="80"/>
    </row>
    <row r="267" spans="1:12" s="27" customFormat="1" ht="15" customHeight="1" x14ac:dyDescent="0.2">
      <c r="A267" s="1450"/>
      <c r="B267" s="1450"/>
      <c r="C267" s="1450"/>
      <c r="D267" s="1450"/>
      <c r="E267" s="712" t="s">
        <v>304</v>
      </c>
      <c r="F267" s="720">
        <f t="shared" si="40"/>
        <v>1906141</v>
      </c>
      <c r="G267" s="720">
        <f t="shared" si="41"/>
        <v>0</v>
      </c>
      <c r="H267" s="720">
        <f t="shared" si="23"/>
        <v>1906141</v>
      </c>
      <c r="I267" s="80"/>
      <c r="J267" s="80"/>
      <c r="K267" s="80"/>
      <c r="L267" s="80"/>
    </row>
    <row r="268" spans="1:12" s="27" customFormat="1" ht="15" customHeight="1" x14ac:dyDescent="0.2">
      <c r="A268" s="1450"/>
      <c r="B268" s="1450"/>
      <c r="C268" s="1450"/>
      <c r="D268" s="1450" t="s">
        <v>55</v>
      </c>
      <c r="E268" s="735" t="s">
        <v>66</v>
      </c>
      <c r="F268" s="720"/>
      <c r="G268" s="720"/>
      <c r="H268" s="720"/>
      <c r="I268" s="80"/>
      <c r="J268" s="80"/>
      <c r="K268" s="80"/>
      <c r="L268" s="80"/>
    </row>
    <row r="269" spans="1:12" s="27" customFormat="1" ht="15" customHeight="1" x14ac:dyDescent="0.2">
      <c r="A269" s="1450"/>
      <c r="B269" s="1450"/>
      <c r="C269" s="1450"/>
      <c r="D269" s="1450"/>
      <c r="E269" s="712" t="s">
        <v>302</v>
      </c>
      <c r="F269" s="720">
        <f>F281+F293+F305</f>
        <v>578672</v>
      </c>
      <c r="G269" s="720">
        <f>G281+G293+G305</f>
        <v>0</v>
      </c>
      <c r="H269" s="720">
        <f t="shared" si="23"/>
        <v>578672</v>
      </c>
      <c r="I269" s="80"/>
      <c r="J269" s="80"/>
      <c r="K269" s="80"/>
      <c r="L269" s="80"/>
    </row>
    <row r="270" spans="1:12" s="27" customFormat="1" ht="15" customHeight="1" x14ac:dyDescent="0.2">
      <c r="A270" s="1450"/>
      <c r="B270" s="1450"/>
      <c r="C270" s="1450"/>
      <c r="D270" s="1450"/>
      <c r="E270" s="712" t="s">
        <v>303</v>
      </c>
      <c r="F270" s="720">
        <f t="shared" ref="F270:G271" si="42">F282+F294+F306</f>
        <v>578672</v>
      </c>
      <c r="G270" s="720">
        <f t="shared" si="42"/>
        <v>0</v>
      </c>
      <c r="H270" s="720">
        <f t="shared" si="23"/>
        <v>578672</v>
      </c>
      <c r="I270" s="80"/>
      <c r="J270" s="80"/>
      <c r="K270" s="80"/>
      <c r="L270" s="80"/>
    </row>
    <row r="271" spans="1:12" s="27" customFormat="1" ht="15" customHeight="1" x14ac:dyDescent="0.2">
      <c r="A271" s="1450"/>
      <c r="B271" s="1450"/>
      <c r="C271" s="1450"/>
      <c r="D271" s="1450"/>
      <c r="E271" s="712" t="s">
        <v>304</v>
      </c>
      <c r="F271" s="720">
        <f t="shared" si="42"/>
        <v>524736</v>
      </c>
      <c r="G271" s="720">
        <f t="shared" si="42"/>
        <v>0</v>
      </c>
      <c r="H271" s="720">
        <f t="shared" si="23"/>
        <v>524736</v>
      </c>
      <c r="I271" s="80"/>
      <c r="J271" s="80"/>
      <c r="K271" s="80"/>
      <c r="L271" s="80"/>
    </row>
    <row r="272" spans="1:12" s="27" customFormat="1" ht="15" customHeight="1" x14ac:dyDescent="0.2">
      <c r="A272" s="1419"/>
      <c r="B272" s="1452"/>
      <c r="C272" s="1420"/>
      <c r="D272" s="1451"/>
      <c r="E272" s="737" t="s">
        <v>211</v>
      </c>
      <c r="F272" s="721"/>
      <c r="G272" s="721"/>
      <c r="H272" s="721">
        <f t="shared" si="23"/>
        <v>0</v>
      </c>
      <c r="I272" s="80"/>
      <c r="J272" s="80"/>
      <c r="K272" s="80"/>
      <c r="L272" s="80"/>
    </row>
    <row r="273" spans="1:12" s="27" customFormat="1" ht="15" customHeight="1" x14ac:dyDescent="0.2">
      <c r="A273" s="1421"/>
      <c r="B273" s="1453"/>
      <c r="C273" s="1422"/>
      <c r="D273" s="1451"/>
      <c r="E273" s="713" t="s">
        <v>302</v>
      </c>
      <c r="F273" s="721">
        <f>F277+F281</f>
        <v>8000</v>
      </c>
      <c r="G273" s="721">
        <f>G277+G281</f>
        <v>0</v>
      </c>
      <c r="H273" s="721">
        <f t="shared" si="23"/>
        <v>8000</v>
      </c>
      <c r="I273" s="80"/>
      <c r="J273" s="80"/>
      <c r="K273" s="80"/>
      <c r="L273" s="80"/>
    </row>
    <row r="274" spans="1:12" s="27" customFormat="1" ht="15" customHeight="1" x14ac:dyDescent="0.2">
      <c r="A274" s="1421"/>
      <c r="B274" s="1453"/>
      <c r="C274" s="1422"/>
      <c r="D274" s="1451"/>
      <c r="E274" s="713" t="s">
        <v>303</v>
      </c>
      <c r="F274" s="721">
        <f t="shared" ref="F274:G275" si="43">F278+F282</f>
        <v>8000</v>
      </c>
      <c r="G274" s="721">
        <f t="shared" si="43"/>
        <v>0</v>
      </c>
      <c r="H274" s="721">
        <f t="shared" si="23"/>
        <v>8000</v>
      </c>
      <c r="I274" s="80"/>
      <c r="J274" s="80"/>
      <c r="K274" s="80"/>
      <c r="L274" s="80"/>
    </row>
    <row r="275" spans="1:12" s="27" customFormat="1" ht="15" customHeight="1" x14ac:dyDescent="0.2">
      <c r="A275" s="1421"/>
      <c r="B275" s="1453"/>
      <c r="C275" s="1422"/>
      <c r="D275" s="1451"/>
      <c r="E275" s="713" t="s">
        <v>304</v>
      </c>
      <c r="F275" s="721">
        <f t="shared" si="43"/>
        <v>82227</v>
      </c>
      <c r="G275" s="721">
        <f t="shared" si="43"/>
        <v>0</v>
      </c>
      <c r="H275" s="721">
        <f t="shared" si="23"/>
        <v>82227</v>
      </c>
      <c r="I275" s="80"/>
      <c r="J275" s="80"/>
      <c r="K275" s="80"/>
      <c r="L275" s="80"/>
    </row>
    <row r="276" spans="1:12" s="27" customFormat="1" ht="15" customHeight="1" x14ac:dyDescent="0.2">
      <c r="A276" s="1421"/>
      <c r="B276" s="1453"/>
      <c r="C276" s="1422"/>
      <c r="D276" s="1451" t="s">
        <v>54</v>
      </c>
      <c r="E276" s="117" t="s">
        <v>65</v>
      </c>
      <c r="F276" s="721"/>
      <c r="G276" s="721"/>
      <c r="H276" s="721"/>
      <c r="I276" s="80"/>
      <c r="J276" s="80"/>
      <c r="K276" s="80"/>
      <c r="L276" s="80"/>
    </row>
    <row r="277" spans="1:12" s="27" customFormat="1" ht="15" customHeight="1" x14ac:dyDescent="0.2">
      <c r="A277" s="1421"/>
      <c r="B277" s="1453"/>
      <c r="C277" s="1422"/>
      <c r="D277" s="1451"/>
      <c r="E277" s="713" t="s">
        <v>302</v>
      </c>
      <c r="F277" s="721">
        <v>8000</v>
      </c>
      <c r="G277" s="721"/>
      <c r="H277" s="721">
        <f t="shared" si="23"/>
        <v>8000</v>
      </c>
      <c r="I277" s="80"/>
      <c r="J277" s="80"/>
      <c r="K277" s="80"/>
      <c r="L277" s="80"/>
    </row>
    <row r="278" spans="1:12" s="27" customFormat="1" ht="15" customHeight="1" x14ac:dyDescent="0.2">
      <c r="A278" s="1421"/>
      <c r="B278" s="1453"/>
      <c r="C278" s="1422"/>
      <c r="D278" s="1451"/>
      <c r="E278" s="713" t="s">
        <v>303</v>
      </c>
      <c r="F278" s="721">
        <v>8000</v>
      </c>
      <c r="G278" s="721"/>
      <c r="H278" s="721">
        <f t="shared" si="23"/>
        <v>8000</v>
      </c>
      <c r="I278" s="80"/>
      <c r="J278" s="80"/>
      <c r="K278" s="80"/>
      <c r="L278" s="80"/>
    </row>
    <row r="279" spans="1:12" s="27" customFormat="1" ht="15" customHeight="1" x14ac:dyDescent="0.2">
      <c r="A279" s="1421"/>
      <c r="B279" s="1453"/>
      <c r="C279" s="1422"/>
      <c r="D279" s="1451"/>
      <c r="E279" s="713" t="s">
        <v>304</v>
      </c>
      <c r="F279" s="721">
        <v>82227</v>
      </c>
      <c r="G279" s="721"/>
      <c r="H279" s="721">
        <f t="shared" si="23"/>
        <v>82227</v>
      </c>
      <c r="I279" s="80"/>
      <c r="J279" s="80"/>
      <c r="K279" s="80"/>
      <c r="L279" s="80"/>
    </row>
    <row r="280" spans="1:12" s="27" customFormat="1" ht="15" customHeight="1" x14ac:dyDescent="0.2">
      <c r="A280" s="1421"/>
      <c r="B280" s="1453"/>
      <c r="C280" s="1422"/>
      <c r="D280" s="1451" t="s">
        <v>55</v>
      </c>
      <c r="E280" s="325" t="s">
        <v>66</v>
      </c>
      <c r="F280" s="721"/>
      <c r="G280" s="721"/>
      <c r="H280" s="721"/>
      <c r="I280" s="80"/>
      <c r="J280" s="80"/>
      <c r="K280" s="80"/>
      <c r="L280" s="80"/>
    </row>
    <row r="281" spans="1:12" s="27" customFormat="1" ht="15" customHeight="1" x14ac:dyDescent="0.2">
      <c r="A281" s="1421"/>
      <c r="B281" s="1453"/>
      <c r="C281" s="1422"/>
      <c r="D281" s="1451"/>
      <c r="E281" s="713" t="s">
        <v>302</v>
      </c>
      <c r="F281" s="721"/>
      <c r="G281" s="721"/>
      <c r="H281" s="721">
        <f t="shared" si="23"/>
        <v>0</v>
      </c>
      <c r="I281" s="80"/>
      <c r="J281" s="80"/>
      <c r="K281" s="80"/>
      <c r="L281" s="80"/>
    </row>
    <row r="282" spans="1:12" s="27" customFormat="1" ht="15" customHeight="1" x14ac:dyDescent="0.2">
      <c r="A282" s="1421"/>
      <c r="B282" s="1453"/>
      <c r="C282" s="1422"/>
      <c r="D282" s="1451"/>
      <c r="E282" s="713" t="s">
        <v>303</v>
      </c>
      <c r="F282" s="721"/>
      <c r="G282" s="721"/>
      <c r="H282" s="721">
        <f t="shared" si="23"/>
        <v>0</v>
      </c>
      <c r="I282" s="80"/>
      <c r="J282" s="80"/>
      <c r="K282" s="80"/>
      <c r="L282" s="80"/>
    </row>
    <row r="283" spans="1:12" s="27" customFormat="1" ht="15" customHeight="1" x14ac:dyDescent="0.2">
      <c r="A283" s="1421"/>
      <c r="B283" s="1453"/>
      <c r="C283" s="1422"/>
      <c r="D283" s="1451"/>
      <c r="E283" s="713" t="s">
        <v>304</v>
      </c>
      <c r="F283" s="721"/>
      <c r="G283" s="721"/>
      <c r="H283" s="721">
        <f t="shared" si="23"/>
        <v>0</v>
      </c>
      <c r="I283" s="80"/>
      <c r="J283" s="80"/>
      <c r="K283" s="80"/>
      <c r="L283" s="80"/>
    </row>
    <row r="284" spans="1:12" s="27" customFormat="1" ht="15" customHeight="1" x14ac:dyDescent="0.2">
      <c r="A284" s="1421"/>
      <c r="B284" s="1453"/>
      <c r="C284" s="1422"/>
      <c r="D284" s="1451"/>
      <c r="E284" s="737" t="s">
        <v>191</v>
      </c>
      <c r="F284" s="721"/>
      <c r="G284" s="721"/>
      <c r="H284" s="721"/>
      <c r="I284" s="80"/>
      <c r="J284" s="80"/>
      <c r="K284" s="80"/>
      <c r="L284" s="80"/>
    </row>
    <row r="285" spans="1:12" s="27" customFormat="1" ht="15" customHeight="1" x14ac:dyDescent="0.2">
      <c r="A285" s="1421"/>
      <c r="B285" s="1453"/>
      <c r="C285" s="1422"/>
      <c r="D285" s="1451"/>
      <c r="E285" s="713" t="s">
        <v>302</v>
      </c>
      <c r="F285" s="721">
        <f>F289+F293</f>
        <v>2212255</v>
      </c>
      <c r="G285" s="721">
        <f>G289+G293</f>
        <v>0</v>
      </c>
      <c r="H285" s="721">
        <f t="shared" si="23"/>
        <v>2212255</v>
      </c>
      <c r="I285" s="80"/>
      <c r="J285" s="80"/>
      <c r="K285" s="80"/>
      <c r="L285" s="80"/>
    </row>
    <row r="286" spans="1:12" s="27" customFormat="1" ht="15" customHeight="1" x14ac:dyDescent="0.2">
      <c r="A286" s="1421"/>
      <c r="B286" s="1453"/>
      <c r="C286" s="1422"/>
      <c r="D286" s="1451"/>
      <c r="E286" s="713" t="s">
        <v>303</v>
      </c>
      <c r="F286" s="721">
        <f t="shared" ref="F286" si="44">F290+F294</f>
        <v>2212255</v>
      </c>
      <c r="G286" s="721">
        <f t="shared" ref="G286:G287" si="45">G290+G294</f>
        <v>0</v>
      </c>
      <c r="H286" s="721">
        <f t="shared" si="23"/>
        <v>2212255</v>
      </c>
      <c r="I286" s="80"/>
      <c r="J286" s="80"/>
      <c r="K286" s="80"/>
      <c r="L286" s="80"/>
    </row>
    <row r="287" spans="1:12" s="27" customFormat="1" ht="15" customHeight="1" x14ac:dyDescent="0.2">
      <c r="A287" s="1421"/>
      <c r="B287" s="1453"/>
      <c r="C287" s="1422"/>
      <c r="D287" s="1451"/>
      <c r="E287" s="713" t="s">
        <v>304</v>
      </c>
      <c r="F287" s="721">
        <f>F291+F295</f>
        <v>2348650</v>
      </c>
      <c r="G287" s="721">
        <f t="shared" si="45"/>
        <v>0</v>
      </c>
      <c r="H287" s="721">
        <f t="shared" si="23"/>
        <v>2348650</v>
      </c>
      <c r="I287" s="80"/>
      <c r="J287" s="80"/>
      <c r="K287" s="80"/>
      <c r="L287" s="80"/>
    </row>
    <row r="288" spans="1:12" s="27" customFormat="1" ht="15" customHeight="1" x14ac:dyDescent="0.2">
      <c r="A288" s="1421"/>
      <c r="B288" s="1453"/>
      <c r="C288" s="1422"/>
      <c r="D288" s="1451" t="s">
        <v>54</v>
      </c>
      <c r="E288" s="117" t="s">
        <v>65</v>
      </c>
      <c r="F288" s="721"/>
      <c r="G288" s="721"/>
      <c r="H288" s="721"/>
      <c r="I288" s="80"/>
      <c r="J288" s="80"/>
      <c r="K288" s="80"/>
      <c r="L288" s="80"/>
    </row>
    <row r="289" spans="1:12" s="27" customFormat="1" ht="15" customHeight="1" x14ac:dyDescent="0.2">
      <c r="A289" s="1421"/>
      <c r="B289" s="1453"/>
      <c r="C289" s="1422"/>
      <c r="D289" s="1451"/>
      <c r="E289" s="713" t="s">
        <v>302</v>
      </c>
      <c r="F289" s="721">
        <v>1633583</v>
      </c>
      <c r="G289" s="721"/>
      <c r="H289" s="721">
        <f t="shared" si="23"/>
        <v>1633583</v>
      </c>
      <c r="I289" s="80"/>
      <c r="J289" s="80"/>
      <c r="K289" s="80"/>
      <c r="L289" s="80"/>
    </row>
    <row r="290" spans="1:12" s="27" customFormat="1" ht="15" customHeight="1" x14ac:dyDescent="0.2">
      <c r="A290" s="1421"/>
      <c r="B290" s="1453"/>
      <c r="C290" s="1422"/>
      <c r="D290" s="1451"/>
      <c r="E290" s="713" t="s">
        <v>303</v>
      </c>
      <c r="F290" s="721">
        <v>1633583</v>
      </c>
      <c r="G290" s="721"/>
      <c r="H290" s="721">
        <f t="shared" si="23"/>
        <v>1633583</v>
      </c>
      <c r="I290" s="80"/>
      <c r="J290" s="80"/>
      <c r="K290" s="80"/>
      <c r="L290" s="80"/>
    </row>
    <row r="291" spans="1:12" s="27" customFormat="1" ht="15" customHeight="1" x14ac:dyDescent="0.2">
      <c r="A291" s="1421"/>
      <c r="B291" s="1453"/>
      <c r="C291" s="1422"/>
      <c r="D291" s="1451"/>
      <c r="E291" s="713" t="s">
        <v>304</v>
      </c>
      <c r="F291" s="721">
        <f>328635+1495279</f>
        <v>1823914</v>
      </c>
      <c r="G291" s="721"/>
      <c r="H291" s="721">
        <f t="shared" si="23"/>
        <v>1823914</v>
      </c>
      <c r="I291" s="80"/>
      <c r="J291" s="80"/>
      <c r="K291" s="80"/>
      <c r="L291" s="80"/>
    </row>
    <row r="292" spans="1:12" s="27" customFormat="1" ht="15" customHeight="1" x14ac:dyDescent="0.2">
      <c r="A292" s="1421"/>
      <c r="B292" s="1453"/>
      <c r="C292" s="1422"/>
      <c r="D292" s="1451" t="s">
        <v>55</v>
      </c>
      <c r="E292" s="325" t="s">
        <v>66</v>
      </c>
      <c r="F292" s="721"/>
      <c r="G292" s="721"/>
      <c r="H292" s="721"/>
      <c r="I292" s="80"/>
      <c r="J292" s="80"/>
      <c r="K292" s="80"/>
      <c r="L292" s="80"/>
    </row>
    <row r="293" spans="1:12" s="27" customFormat="1" ht="15" customHeight="1" x14ac:dyDescent="0.2">
      <c r="A293" s="1421"/>
      <c r="B293" s="1453"/>
      <c r="C293" s="1422"/>
      <c r="D293" s="1451"/>
      <c r="E293" s="713" t="s">
        <v>302</v>
      </c>
      <c r="F293" s="721">
        <v>578672</v>
      </c>
      <c r="G293" s="721"/>
      <c r="H293" s="721">
        <f t="shared" si="23"/>
        <v>578672</v>
      </c>
      <c r="I293" s="80"/>
      <c r="J293" s="80"/>
      <c r="K293" s="80"/>
      <c r="L293" s="80"/>
    </row>
    <row r="294" spans="1:12" s="27" customFormat="1" ht="15" customHeight="1" x14ac:dyDescent="0.2">
      <c r="A294" s="1421"/>
      <c r="B294" s="1453"/>
      <c r="C294" s="1422"/>
      <c r="D294" s="1451"/>
      <c r="E294" s="713" t="s">
        <v>303</v>
      </c>
      <c r="F294" s="721">
        <v>578672</v>
      </c>
      <c r="G294" s="721"/>
      <c r="H294" s="721">
        <f t="shared" si="23"/>
        <v>578672</v>
      </c>
      <c r="I294" s="80"/>
      <c r="J294" s="80"/>
      <c r="K294" s="80"/>
      <c r="L294" s="80"/>
    </row>
    <row r="295" spans="1:12" s="27" customFormat="1" ht="15" customHeight="1" x14ac:dyDescent="0.2">
      <c r="A295" s="1421"/>
      <c r="B295" s="1453"/>
      <c r="C295" s="1422"/>
      <c r="D295" s="1451"/>
      <c r="E295" s="713" t="s">
        <v>304</v>
      </c>
      <c r="F295" s="721">
        <v>524736</v>
      </c>
      <c r="G295" s="721"/>
      <c r="H295" s="721">
        <f t="shared" si="23"/>
        <v>524736</v>
      </c>
      <c r="I295" s="80"/>
      <c r="J295" s="80"/>
      <c r="K295" s="80"/>
      <c r="L295" s="80"/>
    </row>
    <row r="296" spans="1:12" s="27" customFormat="1" ht="15" customHeight="1" x14ac:dyDescent="0.2">
      <c r="A296" s="1421"/>
      <c r="B296" s="1453"/>
      <c r="C296" s="1422"/>
      <c r="D296" s="1451"/>
      <c r="E296" s="737" t="s">
        <v>192</v>
      </c>
      <c r="F296" s="721"/>
      <c r="G296" s="721"/>
      <c r="H296" s="721"/>
      <c r="I296" s="80"/>
      <c r="J296" s="80"/>
      <c r="K296" s="80"/>
      <c r="L296" s="80"/>
    </row>
    <row r="297" spans="1:12" s="27" customFormat="1" ht="15" customHeight="1" x14ac:dyDescent="0.2">
      <c r="A297" s="1421"/>
      <c r="B297" s="1453"/>
      <c r="C297" s="1422"/>
      <c r="D297" s="1451"/>
      <c r="E297" s="713" t="s">
        <v>302</v>
      </c>
      <c r="F297" s="721">
        <f>F301+F305</f>
        <v>0</v>
      </c>
      <c r="G297" s="721">
        <f>G301+G305</f>
        <v>0</v>
      </c>
      <c r="H297" s="721">
        <f t="shared" si="23"/>
        <v>0</v>
      </c>
      <c r="I297" s="80"/>
      <c r="J297" s="80"/>
      <c r="K297" s="80"/>
      <c r="L297" s="80"/>
    </row>
    <row r="298" spans="1:12" s="27" customFormat="1" ht="15" customHeight="1" x14ac:dyDescent="0.2">
      <c r="A298" s="1421"/>
      <c r="B298" s="1453"/>
      <c r="C298" s="1422"/>
      <c r="D298" s="1451"/>
      <c r="E298" s="713" t="s">
        <v>303</v>
      </c>
      <c r="F298" s="721">
        <f t="shared" ref="F298:G299" si="46">F302+F306</f>
        <v>0</v>
      </c>
      <c r="G298" s="721">
        <f t="shared" si="46"/>
        <v>0</v>
      </c>
      <c r="H298" s="721">
        <f t="shared" si="23"/>
        <v>0</v>
      </c>
      <c r="I298" s="80"/>
      <c r="J298" s="80"/>
      <c r="K298" s="80"/>
      <c r="L298" s="80"/>
    </row>
    <row r="299" spans="1:12" s="27" customFormat="1" ht="15" customHeight="1" x14ac:dyDescent="0.2">
      <c r="A299" s="1421"/>
      <c r="B299" s="1453"/>
      <c r="C299" s="1422"/>
      <c r="D299" s="1451"/>
      <c r="E299" s="713" t="s">
        <v>304</v>
      </c>
      <c r="F299" s="721">
        <f t="shared" si="46"/>
        <v>0</v>
      </c>
      <c r="G299" s="721">
        <f t="shared" si="46"/>
        <v>0</v>
      </c>
      <c r="H299" s="721">
        <f t="shared" si="23"/>
        <v>0</v>
      </c>
      <c r="I299" s="80"/>
      <c r="J299" s="80"/>
      <c r="K299" s="80"/>
      <c r="L299" s="80"/>
    </row>
    <row r="300" spans="1:12" s="27" customFormat="1" ht="15" customHeight="1" x14ac:dyDescent="0.2">
      <c r="A300" s="1421"/>
      <c r="B300" s="1453"/>
      <c r="C300" s="1422"/>
      <c r="D300" s="1451" t="s">
        <v>54</v>
      </c>
      <c r="E300" s="117" t="s">
        <v>65</v>
      </c>
      <c r="F300" s="721"/>
      <c r="G300" s="721"/>
      <c r="H300" s="721"/>
      <c r="I300" s="80"/>
      <c r="J300" s="80"/>
      <c r="K300" s="80"/>
      <c r="L300" s="80"/>
    </row>
    <row r="301" spans="1:12" s="27" customFormat="1" ht="15" customHeight="1" x14ac:dyDescent="0.2">
      <c r="A301" s="1421"/>
      <c r="B301" s="1453"/>
      <c r="C301" s="1422"/>
      <c r="D301" s="1451"/>
      <c r="E301" s="713" t="s">
        <v>302</v>
      </c>
      <c r="F301" s="721"/>
      <c r="G301" s="721"/>
      <c r="H301" s="721">
        <f t="shared" si="23"/>
        <v>0</v>
      </c>
      <c r="I301" s="80"/>
      <c r="J301" s="80"/>
      <c r="K301" s="80"/>
      <c r="L301" s="80"/>
    </row>
    <row r="302" spans="1:12" s="27" customFormat="1" ht="15" customHeight="1" x14ac:dyDescent="0.2">
      <c r="A302" s="1421"/>
      <c r="B302" s="1453"/>
      <c r="C302" s="1422"/>
      <c r="D302" s="1451"/>
      <c r="E302" s="713" t="s">
        <v>303</v>
      </c>
      <c r="F302" s="721"/>
      <c r="G302" s="721"/>
      <c r="H302" s="721">
        <f t="shared" si="23"/>
        <v>0</v>
      </c>
      <c r="I302" s="80"/>
      <c r="J302" s="80"/>
      <c r="K302" s="80"/>
      <c r="L302" s="80"/>
    </row>
    <row r="303" spans="1:12" s="27" customFormat="1" ht="15" customHeight="1" x14ac:dyDescent="0.2">
      <c r="A303" s="1421"/>
      <c r="B303" s="1453"/>
      <c r="C303" s="1422"/>
      <c r="D303" s="1451"/>
      <c r="E303" s="713" t="s">
        <v>304</v>
      </c>
      <c r="F303" s="721"/>
      <c r="G303" s="721"/>
      <c r="H303" s="721">
        <f t="shared" si="23"/>
        <v>0</v>
      </c>
      <c r="I303" s="80"/>
      <c r="J303" s="80"/>
      <c r="K303" s="80"/>
      <c r="L303" s="80"/>
    </row>
    <row r="304" spans="1:12" s="27" customFormat="1" ht="15" customHeight="1" x14ac:dyDescent="0.2">
      <c r="A304" s="1421"/>
      <c r="B304" s="1453"/>
      <c r="C304" s="1422"/>
      <c r="D304" s="745" t="s">
        <v>55</v>
      </c>
      <c r="E304" s="325" t="s">
        <v>66</v>
      </c>
      <c r="F304" s="721"/>
      <c r="G304" s="721"/>
      <c r="H304" s="721"/>
      <c r="I304" s="80"/>
      <c r="J304" s="80"/>
      <c r="K304" s="80"/>
      <c r="L304" s="80"/>
    </row>
    <row r="305" spans="1:12" s="27" customFormat="1" ht="15" customHeight="1" x14ac:dyDescent="0.2">
      <c r="A305" s="1421"/>
      <c r="B305" s="1453"/>
      <c r="C305" s="1422"/>
      <c r="D305" s="746"/>
      <c r="E305" s="713" t="s">
        <v>302</v>
      </c>
      <c r="F305" s="721"/>
      <c r="G305" s="721"/>
      <c r="H305" s="721">
        <f t="shared" si="23"/>
        <v>0</v>
      </c>
      <c r="I305" s="80"/>
      <c r="J305" s="80"/>
      <c r="K305" s="80"/>
      <c r="L305" s="80"/>
    </row>
    <row r="306" spans="1:12" s="27" customFormat="1" ht="15" customHeight="1" x14ac:dyDescent="0.2">
      <c r="A306" s="1421"/>
      <c r="B306" s="1453"/>
      <c r="C306" s="1422"/>
      <c r="D306" s="746"/>
      <c r="E306" s="713" t="s">
        <v>303</v>
      </c>
      <c r="F306" s="721"/>
      <c r="G306" s="721"/>
      <c r="H306" s="721">
        <f t="shared" si="23"/>
        <v>0</v>
      </c>
      <c r="I306" s="80"/>
      <c r="J306" s="80"/>
      <c r="K306" s="80"/>
      <c r="L306" s="80"/>
    </row>
    <row r="307" spans="1:12" s="27" customFormat="1" ht="15" customHeight="1" x14ac:dyDescent="0.2">
      <c r="A307" s="1426"/>
      <c r="B307" s="1454"/>
      <c r="C307" s="1427"/>
      <c r="D307" s="747"/>
      <c r="E307" s="713" t="s">
        <v>304</v>
      </c>
      <c r="F307" s="721"/>
      <c r="G307" s="721"/>
      <c r="H307" s="721">
        <f t="shared" si="23"/>
        <v>0</v>
      </c>
      <c r="I307" s="80"/>
      <c r="J307" s="80"/>
      <c r="K307" s="80"/>
      <c r="L307" s="80"/>
    </row>
    <row r="308" spans="1:12" s="27" customFormat="1" ht="15" customHeight="1" x14ac:dyDescent="0.2">
      <c r="A308" s="1450">
        <v>7</v>
      </c>
      <c r="B308" s="1450"/>
      <c r="C308" s="1450" t="s">
        <v>108</v>
      </c>
      <c r="D308" s="748"/>
      <c r="E308" s="736" t="s">
        <v>155</v>
      </c>
      <c r="F308" s="720"/>
      <c r="G308" s="720"/>
      <c r="H308" s="720"/>
      <c r="I308" s="80"/>
      <c r="J308" s="80"/>
      <c r="K308" s="80"/>
      <c r="L308" s="80"/>
    </row>
    <row r="309" spans="1:12" s="27" customFormat="1" ht="15" customHeight="1" x14ac:dyDescent="0.2">
      <c r="A309" s="1450"/>
      <c r="B309" s="1450"/>
      <c r="C309" s="1450"/>
      <c r="D309" s="748"/>
      <c r="E309" s="712" t="s">
        <v>302</v>
      </c>
      <c r="F309" s="720">
        <f>F313+F317</f>
        <v>0</v>
      </c>
      <c r="G309" s="720">
        <f>G313+G317</f>
        <v>0</v>
      </c>
      <c r="H309" s="720">
        <f t="shared" si="23"/>
        <v>0</v>
      </c>
      <c r="I309" s="80"/>
      <c r="J309" s="80"/>
      <c r="K309" s="80"/>
      <c r="L309" s="80"/>
    </row>
    <row r="310" spans="1:12" s="27" customFormat="1" ht="15" customHeight="1" x14ac:dyDescent="0.2">
      <c r="A310" s="1450"/>
      <c r="B310" s="1450"/>
      <c r="C310" s="1450"/>
      <c r="D310" s="748"/>
      <c r="E310" s="712" t="s">
        <v>303</v>
      </c>
      <c r="F310" s="720">
        <f t="shared" ref="F310:G311" si="47">F314+F318</f>
        <v>0</v>
      </c>
      <c r="G310" s="720">
        <f t="shared" si="47"/>
        <v>0</v>
      </c>
      <c r="H310" s="720">
        <f t="shared" si="23"/>
        <v>0</v>
      </c>
      <c r="I310" s="80"/>
      <c r="J310" s="80"/>
      <c r="K310" s="80"/>
      <c r="L310" s="80"/>
    </row>
    <row r="311" spans="1:12" s="27" customFormat="1" ht="15" customHeight="1" x14ac:dyDescent="0.2">
      <c r="A311" s="1450"/>
      <c r="B311" s="1450"/>
      <c r="C311" s="1450"/>
      <c r="D311" s="748"/>
      <c r="E311" s="712" t="s">
        <v>304</v>
      </c>
      <c r="F311" s="720">
        <f t="shared" si="47"/>
        <v>3081</v>
      </c>
      <c r="G311" s="720">
        <f t="shared" si="47"/>
        <v>0</v>
      </c>
      <c r="H311" s="720">
        <f t="shared" si="23"/>
        <v>3081</v>
      </c>
      <c r="I311" s="80"/>
      <c r="J311" s="80"/>
      <c r="K311" s="80"/>
      <c r="L311" s="80"/>
    </row>
    <row r="312" spans="1:12" s="27" customFormat="1" ht="15" customHeight="1" x14ac:dyDescent="0.2">
      <c r="A312" s="1450"/>
      <c r="B312" s="1450"/>
      <c r="C312" s="1450"/>
      <c r="D312" s="1450" t="s">
        <v>54</v>
      </c>
      <c r="E312" s="734" t="s">
        <v>65</v>
      </c>
      <c r="F312" s="720"/>
      <c r="G312" s="720"/>
      <c r="H312" s="720"/>
      <c r="I312" s="80"/>
      <c r="J312" s="80"/>
      <c r="K312" s="80"/>
      <c r="L312" s="80"/>
    </row>
    <row r="313" spans="1:12" s="27" customFormat="1" ht="15" customHeight="1" x14ac:dyDescent="0.2">
      <c r="A313" s="1450"/>
      <c r="B313" s="1450"/>
      <c r="C313" s="1450"/>
      <c r="D313" s="1450"/>
      <c r="E313" s="712" t="s">
        <v>302</v>
      </c>
      <c r="F313" s="720">
        <f>F325+F337+F349</f>
        <v>0</v>
      </c>
      <c r="G313" s="720">
        <f>G325+G337+G349</f>
        <v>0</v>
      </c>
      <c r="H313" s="720">
        <f t="shared" si="23"/>
        <v>0</v>
      </c>
      <c r="I313" s="80"/>
      <c r="J313" s="80"/>
      <c r="K313" s="80"/>
      <c r="L313" s="80"/>
    </row>
    <row r="314" spans="1:12" s="27" customFormat="1" ht="15" customHeight="1" x14ac:dyDescent="0.2">
      <c r="A314" s="1450"/>
      <c r="B314" s="1450"/>
      <c r="C314" s="1450"/>
      <c r="D314" s="1450"/>
      <c r="E314" s="712" t="s">
        <v>303</v>
      </c>
      <c r="F314" s="720">
        <f t="shared" ref="F314:G315" si="48">F326+F338+F350</f>
        <v>0</v>
      </c>
      <c r="G314" s="720">
        <f t="shared" si="48"/>
        <v>0</v>
      </c>
      <c r="H314" s="720">
        <f t="shared" si="23"/>
        <v>0</v>
      </c>
      <c r="I314" s="80"/>
      <c r="J314" s="80"/>
      <c r="K314" s="80"/>
      <c r="L314" s="80"/>
    </row>
    <row r="315" spans="1:12" s="27" customFormat="1" ht="15" customHeight="1" x14ac:dyDescent="0.2">
      <c r="A315" s="1450"/>
      <c r="B315" s="1450"/>
      <c r="C315" s="1450"/>
      <c r="D315" s="1450"/>
      <c r="E315" s="712" t="s">
        <v>304</v>
      </c>
      <c r="F315" s="720">
        <f>F327+F339+F351</f>
        <v>1942</v>
      </c>
      <c r="G315" s="720">
        <f t="shared" si="48"/>
        <v>0</v>
      </c>
      <c r="H315" s="720">
        <f t="shared" si="23"/>
        <v>1942</v>
      </c>
      <c r="I315" s="80"/>
      <c r="J315" s="80"/>
      <c r="K315" s="80"/>
      <c r="L315" s="80"/>
    </row>
    <row r="316" spans="1:12" s="27" customFormat="1" ht="15" customHeight="1" x14ac:dyDescent="0.2">
      <c r="A316" s="1450"/>
      <c r="B316" s="1450"/>
      <c r="C316" s="1450"/>
      <c r="D316" s="1450" t="s">
        <v>55</v>
      </c>
      <c r="E316" s="735" t="s">
        <v>66</v>
      </c>
      <c r="F316" s="720"/>
      <c r="G316" s="720"/>
      <c r="H316" s="720"/>
      <c r="I316" s="80"/>
      <c r="J316" s="80"/>
      <c r="K316" s="80"/>
      <c r="L316" s="80"/>
    </row>
    <row r="317" spans="1:12" s="27" customFormat="1" ht="15" customHeight="1" x14ac:dyDescent="0.2">
      <c r="A317" s="1450"/>
      <c r="B317" s="1450"/>
      <c r="C317" s="1450"/>
      <c r="D317" s="1450"/>
      <c r="E317" s="712" t="s">
        <v>302</v>
      </c>
      <c r="F317" s="720">
        <f>F329+F341+F353</f>
        <v>0</v>
      </c>
      <c r="G317" s="720">
        <f>G329+G341+G353</f>
        <v>0</v>
      </c>
      <c r="H317" s="720">
        <f t="shared" si="23"/>
        <v>0</v>
      </c>
      <c r="I317" s="80"/>
      <c r="J317" s="80"/>
      <c r="K317" s="80"/>
      <c r="L317" s="80"/>
    </row>
    <row r="318" spans="1:12" s="27" customFormat="1" ht="15" customHeight="1" x14ac:dyDescent="0.2">
      <c r="A318" s="1450"/>
      <c r="B318" s="1450"/>
      <c r="C318" s="1450"/>
      <c r="D318" s="1450"/>
      <c r="E318" s="712" t="s">
        <v>303</v>
      </c>
      <c r="F318" s="720">
        <f t="shared" ref="F318:F319" si="49">F330+F342+F354</f>
        <v>0</v>
      </c>
      <c r="G318" s="720">
        <f t="shared" ref="G318:G319" si="50">G330+G342+G354</f>
        <v>0</v>
      </c>
      <c r="H318" s="720">
        <f t="shared" si="23"/>
        <v>0</v>
      </c>
      <c r="I318" s="80"/>
      <c r="J318" s="80"/>
      <c r="K318" s="80"/>
      <c r="L318" s="80"/>
    </row>
    <row r="319" spans="1:12" s="27" customFormat="1" ht="15" customHeight="1" x14ac:dyDescent="0.2">
      <c r="A319" s="1450"/>
      <c r="B319" s="1450"/>
      <c r="C319" s="1450"/>
      <c r="D319" s="1450"/>
      <c r="E319" s="712" t="s">
        <v>304</v>
      </c>
      <c r="F319" s="720">
        <f t="shared" si="49"/>
        <v>1139</v>
      </c>
      <c r="G319" s="720">
        <f t="shared" si="50"/>
        <v>0</v>
      </c>
      <c r="H319" s="720">
        <f t="shared" si="23"/>
        <v>1139</v>
      </c>
      <c r="I319" s="80"/>
      <c r="J319" s="80"/>
      <c r="K319" s="80"/>
      <c r="L319" s="80"/>
    </row>
    <row r="320" spans="1:12" s="27" customFormat="1" ht="15" customHeight="1" x14ac:dyDescent="0.2">
      <c r="A320" s="1419"/>
      <c r="B320" s="1452"/>
      <c r="C320" s="1420"/>
      <c r="D320" s="1451"/>
      <c r="E320" s="737" t="s">
        <v>211</v>
      </c>
      <c r="F320" s="721"/>
      <c r="G320" s="721"/>
      <c r="H320" s="721"/>
      <c r="I320" s="80"/>
      <c r="J320" s="80"/>
      <c r="K320" s="80"/>
      <c r="L320" s="80"/>
    </row>
    <row r="321" spans="1:12" s="27" customFormat="1" ht="15" customHeight="1" x14ac:dyDescent="0.2">
      <c r="A321" s="1421"/>
      <c r="B321" s="1453"/>
      <c r="C321" s="1422"/>
      <c r="D321" s="1451"/>
      <c r="E321" s="713" t="s">
        <v>302</v>
      </c>
      <c r="F321" s="721">
        <f>F325+F329</f>
        <v>0</v>
      </c>
      <c r="G321" s="721">
        <f>G325+G329</f>
        <v>0</v>
      </c>
      <c r="H321" s="721">
        <f t="shared" si="23"/>
        <v>0</v>
      </c>
      <c r="I321" s="80"/>
      <c r="J321" s="80"/>
      <c r="K321" s="80"/>
      <c r="L321" s="80"/>
    </row>
    <row r="322" spans="1:12" s="27" customFormat="1" ht="15" customHeight="1" x14ac:dyDescent="0.2">
      <c r="A322" s="1421"/>
      <c r="B322" s="1453"/>
      <c r="C322" s="1422"/>
      <c r="D322" s="1451"/>
      <c r="E322" s="713" t="s">
        <v>303</v>
      </c>
      <c r="F322" s="721">
        <f t="shared" ref="F322:G323" si="51">F326+F330</f>
        <v>0</v>
      </c>
      <c r="G322" s="721">
        <f t="shared" si="51"/>
        <v>0</v>
      </c>
      <c r="H322" s="721">
        <f t="shared" si="23"/>
        <v>0</v>
      </c>
      <c r="I322" s="80"/>
      <c r="J322" s="80"/>
      <c r="K322" s="80"/>
      <c r="L322" s="80"/>
    </row>
    <row r="323" spans="1:12" s="27" customFormat="1" ht="15" customHeight="1" x14ac:dyDescent="0.2">
      <c r="A323" s="1421"/>
      <c r="B323" s="1453"/>
      <c r="C323" s="1422"/>
      <c r="D323" s="1451"/>
      <c r="E323" s="713" t="s">
        <v>304</v>
      </c>
      <c r="F323" s="721">
        <f t="shared" si="51"/>
        <v>807</v>
      </c>
      <c r="G323" s="721">
        <f t="shared" si="51"/>
        <v>0</v>
      </c>
      <c r="H323" s="721">
        <f t="shared" si="23"/>
        <v>807</v>
      </c>
      <c r="I323" s="80"/>
      <c r="J323" s="80"/>
      <c r="K323" s="80"/>
      <c r="L323" s="80"/>
    </row>
    <row r="324" spans="1:12" s="27" customFormat="1" ht="15" customHeight="1" x14ac:dyDescent="0.2">
      <c r="A324" s="1421"/>
      <c r="B324" s="1453"/>
      <c r="C324" s="1422"/>
      <c r="D324" s="1451" t="s">
        <v>54</v>
      </c>
      <c r="E324" s="117" t="s">
        <v>65</v>
      </c>
      <c r="F324" s="721"/>
      <c r="G324" s="721"/>
      <c r="H324" s="721"/>
      <c r="I324" s="80"/>
      <c r="J324" s="80"/>
      <c r="K324" s="80"/>
      <c r="L324" s="80"/>
    </row>
    <row r="325" spans="1:12" s="27" customFormat="1" ht="15" customHeight="1" x14ac:dyDescent="0.2">
      <c r="A325" s="1421"/>
      <c r="B325" s="1453"/>
      <c r="C325" s="1422"/>
      <c r="D325" s="1451"/>
      <c r="E325" s="713" t="s">
        <v>302</v>
      </c>
      <c r="F325" s="721">
        <v>0</v>
      </c>
      <c r="G325" s="721"/>
      <c r="H325" s="721">
        <f t="shared" si="23"/>
        <v>0</v>
      </c>
      <c r="I325" s="80"/>
      <c r="J325" s="80"/>
      <c r="K325" s="80"/>
      <c r="L325" s="80"/>
    </row>
    <row r="326" spans="1:12" s="27" customFormat="1" ht="15" customHeight="1" x14ac:dyDescent="0.2">
      <c r="A326" s="1421"/>
      <c r="B326" s="1453"/>
      <c r="C326" s="1422"/>
      <c r="D326" s="1451"/>
      <c r="E326" s="713" t="s">
        <v>303</v>
      </c>
      <c r="F326" s="721">
        <v>0</v>
      </c>
      <c r="G326" s="721"/>
      <c r="H326" s="721">
        <f t="shared" si="23"/>
        <v>0</v>
      </c>
      <c r="I326" s="80"/>
      <c r="J326" s="80"/>
      <c r="K326" s="80"/>
      <c r="L326" s="80"/>
    </row>
    <row r="327" spans="1:12" s="27" customFormat="1" ht="15" customHeight="1" x14ac:dyDescent="0.2">
      <c r="A327" s="1421"/>
      <c r="B327" s="1453"/>
      <c r="C327" s="1422"/>
      <c r="D327" s="1451"/>
      <c r="E327" s="713" t="s">
        <v>304</v>
      </c>
      <c r="F327" s="721">
        <v>807</v>
      </c>
      <c r="G327" s="721"/>
      <c r="H327" s="721">
        <f t="shared" si="23"/>
        <v>807</v>
      </c>
      <c r="I327" s="80"/>
      <c r="J327" s="80"/>
      <c r="K327" s="80"/>
      <c r="L327" s="80"/>
    </row>
    <row r="328" spans="1:12" s="27" customFormat="1" ht="15" customHeight="1" x14ac:dyDescent="0.2">
      <c r="A328" s="1421"/>
      <c r="B328" s="1453"/>
      <c r="C328" s="1422"/>
      <c r="D328" s="1451" t="s">
        <v>55</v>
      </c>
      <c r="E328" s="325" t="s">
        <v>66</v>
      </c>
      <c r="F328" s="721"/>
      <c r="G328" s="721"/>
      <c r="H328" s="721"/>
      <c r="I328" s="80"/>
      <c r="J328" s="80"/>
      <c r="K328" s="80"/>
      <c r="L328" s="80"/>
    </row>
    <row r="329" spans="1:12" s="27" customFormat="1" ht="15" customHeight="1" x14ac:dyDescent="0.2">
      <c r="A329" s="1421"/>
      <c r="B329" s="1453"/>
      <c r="C329" s="1422"/>
      <c r="D329" s="1451"/>
      <c r="E329" s="713" t="s">
        <v>302</v>
      </c>
      <c r="F329" s="721"/>
      <c r="G329" s="721"/>
      <c r="H329" s="721">
        <f t="shared" si="23"/>
        <v>0</v>
      </c>
      <c r="I329" s="80"/>
      <c r="J329" s="80"/>
      <c r="K329" s="80"/>
      <c r="L329" s="80"/>
    </row>
    <row r="330" spans="1:12" s="27" customFormat="1" ht="15" customHeight="1" x14ac:dyDescent="0.2">
      <c r="A330" s="1421"/>
      <c r="B330" s="1453"/>
      <c r="C330" s="1422"/>
      <c r="D330" s="1451"/>
      <c r="E330" s="713" t="s">
        <v>303</v>
      </c>
      <c r="F330" s="721"/>
      <c r="G330" s="721"/>
      <c r="H330" s="721">
        <f t="shared" si="23"/>
        <v>0</v>
      </c>
      <c r="I330" s="80"/>
      <c r="J330" s="80"/>
      <c r="K330" s="80"/>
      <c r="L330" s="80"/>
    </row>
    <row r="331" spans="1:12" s="27" customFormat="1" ht="15" customHeight="1" x14ac:dyDescent="0.2">
      <c r="A331" s="1421"/>
      <c r="B331" s="1453"/>
      <c r="C331" s="1422"/>
      <c r="D331" s="1451"/>
      <c r="E331" s="713" t="s">
        <v>304</v>
      </c>
      <c r="F331" s="721"/>
      <c r="G331" s="721"/>
      <c r="H331" s="721">
        <f t="shared" si="23"/>
        <v>0</v>
      </c>
      <c r="I331" s="80"/>
      <c r="J331" s="80"/>
      <c r="K331" s="80"/>
      <c r="L331" s="80"/>
    </row>
    <row r="332" spans="1:12" s="27" customFormat="1" ht="15" customHeight="1" x14ac:dyDescent="0.2">
      <c r="A332" s="1421"/>
      <c r="B332" s="1453"/>
      <c r="C332" s="1422"/>
      <c r="D332" s="1451"/>
      <c r="E332" s="737" t="s">
        <v>191</v>
      </c>
      <c r="F332" s="721"/>
      <c r="G332" s="721"/>
      <c r="H332" s="721"/>
      <c r="I332" s="80"/>
      <c r="J332" s="80"/>
      <c r="K332" s="80"/>
      <c r="L332" s="80"/>
    </row>
    <row r="333" spans="1:12" s="27" customFormat="1" ht="15" customHeight="1" x14ac:dyDescent="0.2">
      <c r="A333" s="1421"/>
      <c r="B333" s="1453"/>
      <c r="C333" s="1422"/>
      <c r="D333" s="1451"/>
      <c r="E333" s="713" t="s">
        <v>302</v>
      </c>
      <c r="F333" s="721">
        <f>F337+F341</f>
        <v>0</v>
      </c>
      <c r="G333" s="721">
        <f>G337+G341</f>
        <v>0</v>
      </c>
      <c r="H333" s="721">
        <f t="shared" si="23"/>
        <v>0</v>
      </c>
      <c r="I333" s="80"/>
      <c r="J333" s="80"/>
      <c r="K333" s="80"/>
      <c r="L333" s="80"/>
    </row>
    <row r="334" spans="1:12" s="27" customFormat="1" ht="15" customHeight="1" x14ac:dyDescent="0.2">
      <c r="A334" s="1421"/>
      <c r="B334" s="1453"/>
      <c r="C334" s="1422"/>
      <c r="D334" s="1451"/>
      <c r="E334" s="713" t="s">
        <v>303</v>
      </c>
      <c r="F334" s="721">
        <f t="shared" ref="F334:G335" si="52">F338+F342</f>
        <v>0</v>
      </c>
      <c r="G334" s="721">
        <f t="shared" si="52"/>
        <v>0</v>
      </c>
      <c r="H334" s="721">
        <f t="shared" si="23"/>
        <v>0</v>
      </c>
      <c r="I334" s="80"/>
      <c r="J334" s="80"/>
      <c r="K334" s="80"/>
      <c r="L334" s="80"/>
    </row>
    <row r="335" spans="1:12" s="27" customFormat="1" ht="15" customHeight="1" x14ac:dyDescent="0.2">
      <c r="A335" s="1421"/>
      <c r="B335" s="1453"/>
      <c r="C335" s="1422"/>
      <c r="D335" s="1451"/>
      <c r="E335" s="713" t="s">
        <v>304</v>
      </c>
      <c r="F335" s="721">
        <f t="shared" si="52"/>
        <v>1595</v>
      </c>
      <c r="G335" s="721">
        <f t="shared" si="52"/>
        <v>0</v>
      </c>
      <c r="H335" s="721">
        <f t="shared" si="23"/>
        <v>1595</v>
      </c>
      <c r="I335" s="80"/>
      <c r="J335" s="80"/>
      <c r="K335" s="80"/>
      <c r="L335" s="80"/>
    </row>
    <row r="336" spans="1:12" s="27" customFormat="1" ht="15" customHeight="1" x14ac:dyDescent="0.2">
      <c r="A336" s="1421"/>
      <c r="B336" s="1453"/>
      <c r="C336" s="1422"/>
      <c r="D336" s="1451" t="s">
        <v>54</v>
      </c>
      <c r="E336" s="117" t="s">
        <v>65</v>
      </c>
      <c r="F336" s="721"/>
      <c r="G336" s="721"/>
      <c r="H336" s="721"/>
      <c r="I336" s="80"/>
      <c r="J336" s="80"/>
      <c r="K336" s="80"/>
      <c r="L336" s="80"/>
    </row>
    <row r="337" spans="1:12" s="27" customFormat="1" ht="15" customHeight="1" x14ac:dyDescent="0.2">
      <c r="A337" s="1421"/>
      <c r="B337" s="1453"/>
      <c r="C337" s="1422"/>
      <c r="D337" s="1451"/>
      <c r="E337" s="713" t="s">
        <v>302</v>
      </c>
      <c r="F337" s="721">
        <v>0</v>
      </c>
      <c r="G337" s="721"/>
      <c r="H337" s="721">
        <f t="shared" si="23"/>
        <v>0</v>
      </c>
      <c r="I337" s="80"/>
      <c r="J337" s="80"/>
      <c r="K337" s="80"/>
      <c r="L337" s="80"/>
    </row>
    <row r="338" spans="1:12" s="27" customFormat="1" ht="15" customHeight="1" x14ac:dyDescent="0.2">
      <c r="A338" s="1421"/>
      <c r="B338" s="1453"/>
      <c r="C338" s="1422"/>
      <c r="D338" s="1451"/>
      <c r="E338" s="713" t="s">
        <v>303</v>
      </c>
      <c r="F338" s="721">
        <v>0</v>
      </c>
      <c r="G338" s="721"/>
      <c r="H338" s="721">
        <f t="shared" si="23"/>
        <v>0</v>
      </c>
      <c r="I338" s="80"/>
      <c r="J338" s="80"/>
      <c r="K338" s="80"/>
      <c r="L338" s="80"/>
    </row>
    <row r="339" spans="1:12" s="27" customFormat="1" ht="15" customHeight="1" x14ac:dyDescent="0.2">
      <c r="A339" s="1421"/>
      <c r="B339" s="1453"/>
      <c r="C339" s="1422"/>
      <c r="D339" s="1451"/>
      <c r="E339" s="713" t="s">
        <v>304</v>
      </c>
      <c r="F339" s="721">
        <v>456</v>
      </c>
      <c r="G339" s="721"/>
      <c r="H339" s="721">
        <f t="shared" si="23"/>
        <v>456</v>
      </c>
      <c r="I339" s="80"/>
      <c r="J339" s="80"/>
      <c r="K339" s="80"/>
      <c r="L339" s="80"/>
    </row>
    <row r="340" spans="1:12" s="27" customFormat="1" ht="15" customHeight="1" x14ac:dyDescent="0.2">
      <c r="A340" s="1421"/>
      <c r="B340" s="1453"/>
      <c r="C340" s="1422"/>
      <c r="D340" s="1451" t="s">
        <v>55</v>
      </c>
      <c r="E340" s="325" t="s">
        <v>66</v>
      </c>
      <c r="F340" s="721"/>
      <c r="G340" s="721"/>
      <c r="H340" s="721"/>
      <c r="I340" s="80"/>
      <c r="J340" s="80"/>
      <c r="K340" s="80"/>
      <c r="L340" s="80"/>
    </row>
    <row r="341" spans="1:12" s="27" customFormat="1" ht="15" customHeight="1" x14ac:dyDescent="0.2">
      <c r="A341" s="1421"/>
      <c r="B341" s="1453"/>
      <c r="C341" s="1422"/>
      <c r="D341" s="1451"/>
      <c r="E341" s="713" t="s">
        <v>302</v>
      </c>
      <c r="F341" s="721">
        <v>0</v>
      </c>
      <c r="G341" s="721"/>
      <c r="H341" s="721">
        <f t="shared" si="23"/>
        <v>0</v>
      </c>
      <c r="I341" s="80"/>
      <c r="J341" s="80"/>
      <c r="K341" s="80"/>
      <c r="L341" s="80"/>
    </row>
    <row r="342" spans="1:12" s="27" customFormat="1" ht="15" customHeight="1" x14ac:dyDescent="0.2">
      <c r="A342" s="1421"/>
      <c r="B342" s="1453"/>
      <c r="C342" s="1422"/>
      <c r="D342" s="1451"/>
      <c r="E342" s="713" t="s">
        <v>303</v>
      </c>
      <c r="F342" s="721">
        <v>0</v>
      </c>
      <c r="G342" s="721"/>
      <c r="H342" s="721">
        <f t="shared" si="23"/>
        <v>0</v>
      </c>
      <c r="I342" s="80"/>
      <c r="J342" s="80"/>
      <c r="K342" s="80"/>
      <c r="L342" s="80"/>
    </row>
    <row r="343" spans="1:12" s="27" customFormat="1" ht="15" customHeight="1" x14ac:dyDescent="0.2">
      <c r="A343" s="1421"/>
      <c r="B343" s="1453"/>
      <c r="C343" s="1422"/>
      <c r="D343" s="1451"/>
      <c r="E343" s="713" t="s">
        <v>304</v>
      </c>
      <c r="F343" s="721">
        <f>359+780</f>
        <v>1139</v>
      </c>
      <c r="G343" s="721"/>
      <c r="H343" s="721">
        <f t="shared" si="23"/>
        <v>1139</v>
      </c>
      <c r="I343" s="80"/>
      <c r="J343" s="80"/>
      <c r="K343" s="80"/>
      <c r="L343" s="80"/>
    </row>
    <row r="344" spans="1:12" s="27" customFormat="1" ht="15" customHeight="1" x14ac:dyDescent="0.2">
      <c r="A344" s="1421"/>
      <c r="B344" s="1453"/>
      <c r="C344" s="1422"/>
      <c r="D344" s="1451"/>
      <c r="E344" s="737" t="s">
        <v>192</v>
      </c>
      <c r="F344" s="721"/>
      <c r="G344" s="721"/>
      <c r="H344" s="721"/>
      <c r="I344" s="80"/>
      <c r="J344" s="80"/>
      <c r="K344" s="80"/>
      <c r="L344" s="80"/>
    </row>
    <row r="345" spans="1:12" s="27" customFormat="1" ht="15" customHeight="1" x14ac:dyDescent="0.2">
      <c r="A345" s="1421"/>
      <c r="B345" s="1453"/>
      <c r="C345" s="1422"/>
      <c r="D345" s="1451"/>
      <c r="E345" s="713" t="s">
        <v>302</v>
      </c>
      <c r="F345" s="721">
        <f>F349+F353</f>
        <v>0</v>
      </c>
      <c r="G345" s="721">
        <f>G349+G353</f>
        <v>0</v>
      </c>
      <c r="H345" s="721">
        <f t="shared" si="23"/>
        <v>0</v>
      </c>
      <c r="I345" s="80"/>
      <c r="J345" s="80"/>
      <c r="K345" s="80"/>
      <c r="L345" s="80"/>
    </row>
    <row r="346" spans="1:12" s="27" customFormat="1" ht="15" customHeight="1" x14ac:dyDescent="0.2">
      <c r="A346" s="1421"/>
      <c r="B346" s="1453"/>
      <c r="C346" s="1422"/>
      <c r="D346" s="1451"/>
      <c r="E346" s="713" t="s">
        <v>303</v>
      </c>
      <c r="F346" s="721">
        <f t="shared" ref="F346:G347" si="53">F350+F354</f>
        <v>0</v>
      </c>
      <c r="G346" s="721">
        <f t="shared" si="53"/>
        <v>0</v>
      </c>
      <c r="H346" s="721">
        <f t="shared" si="23"/>
        <v>0</v>
      </c>
      <c r="I346" s="80"/>
      <c r="J346" s="80"/>
      <c r="K346" s="80"/>
      <c r="L346" s="80"/>
    </row>
    <row r="347" spans="1:12" s="27" customFormat="1" ht="15" customHeight="1" x14ac:dyDescent="0.2">
      <c r="A347" s="1421"/>
      <c r="B347" s="1453"/>
      <c r="C347" s="1422"/>
      <c r="D347" s="1451"/>
      <c r="E347" s="713" t="s">
        <v>304</v>
      </c>
      <c r="F347" s="721">
        <f t="shared" si="53"/>
        <v>679</v>
      </c>
      <c r="G347" s="721">
        <f t="shared" si="53"/>
        <v>0</v>
      </c>
      <c r="H347" s="721">
        <f t="shared" si="23"/>
        <v>679</v>
      </c>
      <c r="I347" s="80"/>
      <c r="J347" s="80"/>
      <c r="K347" s="80"/>
      <c r="L347" s="80"/>
    </row>
    <row r="348" spans="1:12" s="27" customFormat="1" ht="15" customHeight="1" x14ac:dyDescent="0.2">
      <c r="A348" s="1421"/>
      <c r="B348" s="1453"/>
      <c r="C348" s="1422"/>
      <c r="D348" s="1451" t="s">
        <v>54</v>
      </c>
      <c r="E348" s="117" t="s">
        <v>65</v>
      </c>
      <c r="F348" s="721"/>
      <c r="G348" s="721"/>
      <c r="H348" s="721"/>
      <c r="I348" s="80"/>
      <c r="J348" s="80"/>
      <c r="K348" s="80"/>
      <c r="L348" s="80"/>
    </row>
    <row r="349" spans="1:12" s="27" customFormat="1" ht="15" customHeight="1" x14ac:dyDescent="0.2">
      <c r="A349" s="1421"/>
      <c r="B349" s="1453"/>
      <c r="C349" s="1422"/>
      <c r="D349" s="1451"/>
      <c r="E349" s="713" t="s">
        <v>302</v>
      </c>
      <c r="F349" s="721">
        <v>0</v>
      </c>
      <c r="G349" s="721"/>
      <c r="H349" s="721">
        <f t="shared" si="23"/>
        <v>0</v>
      </c>
      <c r="I349" s="80"/>
      <c r="J349" s="80"/>
      <c r="K349" s="80"/>
      <c r="L349" s="80"/>
    </row>
    <row r="350" spans="1:12" s="27" customFormat="1" ht="15" customHeight="1" x14ac:dyDescent="0.2">
      <c r="A350" s="1421"/>
      <c r="B350" s="1453"/>
      <c r="C350" s="1422"/>
      <c r="D350" s="1451"/>
      <c r="E350" s="713" t="s">
        <v>303</v>
      </c>
      <c r="F350" s="721">
        <v>0</v>
      </c>
      <c r="G350" s="721"/>
      <c r="H350" s="721">
        <f t="shared" si="23"/>
        <v>0</v>
      </c>
      <c r="I350" s="80"/>
      <c r="J350" s="80"/>
      <c r="K350" s="80"/>
      <c r="L350" s="80"/>
    </row>
    <row r="351" spans="1:12" s="27" customFormat="1" ht="15" customHeight="1" x14ac:dyDescent="0.2">
      <c r="A351" s="1421"/>
      <c r="B351" s="1453"/>
      <c r="C351" s="1422"/>
      <c r="D351" s="1451"/>
      <c r="E351" s="713" t="s">
        <v>304</v>
      </c>
      <c r="F351" s="721">
        <v>679</v>
      </c>
      <c r="G351" s="721"/>
      <c r="H351" s="721">
        <f t="shared" si="23"/>
        <v>679</v>
      </c>
      <c r="I351" s="80"/>
      <c r="J351" s="80"/>
      <c r="K351" s="80"/>
      <c r="L351" s="80"/>
    </row>
    <row r="352" spans="1:12" s="27" customFormat="1" ht="15" customHeight="1" x14ac:dyDescent="0.2">
      <c r="A352" s="1421"/>
      <c r="B352" s="1453"/>
      <c r="C352" s="1422"/>
      <c r="D352" s="1451" t="s">
        <v>55</v>
      </c>
      <c r="E352" s="325" t="s">
        <v>66</v>
      </c>
      <c r="F352" s="721"/>
      <c r="G352" s="721"/>
      <c r="H352" s="721"/>
      <c r="I352" s="80"/>
      <c r="J352" s="80"/>
      <c r="K352" s="80"/>
      <c r="L352" s="80"/>
    </row>
    <row r="353" spans="1:12" s="27" customFormat="1" ht="15" customHeight="1" x14ac:dyDescent="0.2">
      <c r="A353" s="1421"/>
      <c r="B353" s="1453"/>
      <c r="C353" s="1422"/>
      <c r="D353" s="1451"/>
      <c r="E353" s="713" t="s">
        <v>302</v>
      </c>
      <c r="F353" s="721"/>
      <c r="G353" s="721"/>
      <c r="H353" s="721">
        <f t="shared" ref="H353:H355" si="54">F353</f>
        <v>0</v>
      </c>
      <c r="I353" s="80"/>
      <c r="J353" s="80"/>
      <c r="K353" s="80"/>
      <c r="L353" s="80"/>
    </row>
    <row r="354" spans="1:12" s="27" customFormat="1" ht="15" customHeight="1" x14ac:dyDescent="0.2">
      <c r="A354" s="1421"/>
      <c r="B354" s="1453"/>
      <c r="C354" s="1422"/>
      <c r="D354" s="1451"/>
      <c r="E354" s="713" t="s">
        <v>303</v>
      </c>
      <c r="F354" s="721"/>
      <c r="G354" s="721"/>
      <c r="H354" s="721">
        <f t="shared" si="54"/>
        <v>0</v>
      </c>
      <c r="I354" s="80"/>
      <c r="J354" s="80"/>
      <c r="K354" s="80"/>
      <c r="L354" s="80"/>
    </row>
    <row r="355" spans="1:12" s="27" customFormat="1" ht="15" customHeight="1" x14ac:dyDescent="0.2">
      <c r="A355" s="1426"/>
      <c r="B355" s="1454"/>
      <c r="C355" s="1427"/>
      <c r="D355" s="1451"/>
      <c r="E355" s="713" t="s">
        <v>304</v>
      </c>
      <c r="F355" s="721"/>
      <c r="G355" s="721"/>
      <c r="H355" s="721">
        <f t="shared" si="54"/>
        <v>0</v>
      </c>
      <c r="I355" s="80"/>
      <c r="J355" s="80"/>
      <c r="K355" s="80"/>
      <c r="L355" s="80"/>
    </row>
    <row r="356" spans="1:12" s="27" customFormat="1" ht="15" customHeight="1" x14ac:dyDescent="0.2">
      <c r="A356" s="1450">
        <v>9</v>
      </c>
      <c r="B356" s="1450"/>
      <c r="C356" s="1450" t="s">
        <v>284</v>
      </c>
      <c r="D356" s="1450"/>
      <c r="E356" s="736" t="s">
        <v>142</v>
      </c>
      <c r="F356" s="720"/>
      <c r="G356" s="720"/>
      <c r="H356" s="720">
        <f>SUM(F356:G356)</f>
        <v>0</v>
      </c>
      <c r="I356" s="80"/>
      <c r="J356" s="80"/>
      <c r="K356" s="80"/>
      <c r="L356" s="80"/>
    </row>
    <row r="357" spans="1:12" s="27" customFormat="1" ht="15" customHeight="1" x14ac:dyDescent="0.2">
      <c r="A357" s="1450"/>
      <c r="B357" s="1450"/>
      <c r="C357" s="1450"/>
      <c r="D357" s="1450"/>
      <c r="E357" s="712" t="s">
        <v>302</v>
      </c>
      <c r="F357" s="720">
        <f>F361+F365</f>
        <v>14000</v>
      </c>
      <c r="G357" s="720">
        <f>G361+G365</f>
        <v>0</v>
      </c>
      <c r="H357" s="720">
        <f t="shared" ref="H357:H367" si="55">SUM(F357:G357)</f>
        <v>14000</v>
      </c>
      <c r="I357" s="80"/>
      <c r="J357" s="80"/>
      <c r="K357" s="80"/>
      <c r="L357" s="80"/>
    </row>
    <row r="358" spans="1:12" s="27" customFormat="1" ht="15" customHeight="1" x14ac:dyDescent="0.2">
      <c r="A358" s="1450"/>
      <c r="B358" s="1450"/>
      <c r="C358" s="1450"/>
      <c r="D358" s="1450"/>
      <c r="E358" s="712" t="s">
        <v>303</v>
      </c>
      <c r="F358" s="720">
        <f t="shared" ref="F358:G359" si="56">F362+F366</f>
        <v>14000</v>
      </c>
      <c r="G358" s="720">
        <f t="shared" si="56"/>
        <v>0</v>
      </c>
      <c r="H358" s="720">
        <f t="shared" si="55"/>
        <v>14000</v>
      </c>
      <c r="I358" s="80"/>
      <c r="J358" s="80"/>
      <c r="K358" s="80"/>
      <c r="L358" s="80"/>
    </row>
    <row r="359" spans="1:12" s="27" customFormat="1" ht="15" customHeight="1" x14ac:dyDescent="0.2">
      <c r="A359" s="1450"/>
      <c r="B359" s="1450"/>
      <c r="C359" s="1450"/>
      <c r="D359" s="1450"/>
      <c r="E359" s="712" t="s">
        <v>304</v>
      </c>
      <c r="F359" s="720">
        <f t="shared" si="56"/>
        <v>191597</v>
      </c>
      <c r="G359" s="720">
        <f t="shared" si="56"/>
        <v>0</v>
      </c>
      <c r="H359" s="720">
        <f t="shared" si="55"/>
        <v>191597</v>
      </c>
      <c r="I359" s="80"/>
      <c r="J359" s="80"/>
      <c r="K359" s="80"/>
      <c r="L359" s="80"/>
    </row>
    <row r="360" spans="1:12" s="27" customFormat="1" ht="15" customHeight="1" x14ac:dyDescent="0.2">
      <c r="A360" s="1450"/>
      <c r="B360" s="1450"/>
      <c r="C360" s="1450"/>
      <c r="D360" s="1450"/>
      <c r="E360" s="734" t="s">
        <v>65</v>
      </c>
      <c r="F360" s="720"/>
      <c r="G360" s="720"/>
      <c r="H360" s="720"/>
      <c r="I360" s="80"/>
      <c r="J360" s="80"/>
      <c r="K360" s="80"/>
      <c r="L360" s="80"/>
    </row>
    <row r="361" spans="1:12" s="27" customFormat="1" ht="15" customHeight="1" x14ac:dyDescent="0.2">
      <c r="A361" s="1450"/>
      <c r="B361" s="1450"/>
      <c r="C361" s="1450"/>
      <c r="D361" s="1450"/>
      <c r="E361" s="712" t="s">
        <v>302</v>
      </c>
      <c r="F361" s="720">
        <f>F373+F385+F397</f>
        <v>14000</v>
      </c>
      <c r="G361" s="720">
        <f>G373+G385+G397</f>
        <v>0</v>
      </c>
      <c r="H361" s="720">
        <f t="shared" si="55"/>
        <v>14000</v>
      </c>
      <c r="I361" s="80"/>
      <c r="J361" s="80"/>
      <c r="K361" s="80"/>
      <c r="L361" s="80"/>
    </row>
    <row r="362" spans="1:12" s="27" customFormat="1" ht="15" customHeight="1" x14ac:dyDescent="0.2">
      <c r="A362" s="1450"/>
      <c r="B362" s="1450"/>
      <c r="C362" s="1450"/>
      <c r="D362" s="1450"/>
      <c r="E362" s="712" t="s">
        <v>303</v>
      </c>
      <c r="F362" s="720">
        <f t="shared" ref="F362:G363" si="57">F374+F386+F398</f>
        <v>14000</v>
      </c>
      <c r="G362" s="720">
        <f t="shared" si="57"/>
        <v>0</v>
      </c>
      <c r="H362" s="720">
        <f t="shared" si="55"/>
        <v>14000</v>
      </c>
      <c r="I362" s="80"/>
      <c r="J362" s="80"/>
      <c r="K362" s="80"/>
      <c r="L362" s="80"/>
    </row>
    <row r="363" spans="1:12" s="27" customFormat="1" ht="15" customHeight="1" x14ac:dyDescent="0.2">
      <c r="A363" s="1450"/>
      <c r="B363" s="1450"/>
      <c r="C363" s="1450"/>
      <c r="D363" s="1450"/>
      <c r="E363" s="712" t="s">
        <v>304</v>
      </c>
      <c r="F363" s="720">
        <f>F375+F387+F399</f>
        <v>191594</v>
      </c>
      <c r="G363" s="720">
        <f t="shared" si="57"/>
        <v>0</v>
      </c>
      <c r="H363" s="720">
        <f t="shared" si="55"/>
        <v>191594</v>
      </c>
      <c r="I363" s="80"/>
      <c r="J363" s="80"/>
      <c r="K363" s="80"/>
      <c r="L363" s="80"/>
    </row>
    <row r="364" spans="1:12" s="27" customFormat="1" ht="15" customHeight="1" x14ac:dyDescent="0.2">
      <c r="A364" s="1450"/>
      <c r="B364" s="1450"/>
      <c r="C364" s="1450"/>
      <c r="D364" s="1450"/>
      <c r="E364" s="735" t="s">
        <v>66</v>
      </c>
      <c r="F364" s="720"/>
      <c r="G364" s="720"/>
      <c r="H364" s="720"/>
      <c r="I364" s="80"/>
      <c r="J364" s="80"/>
      <c r="K364" s="80"/>
      <c r="L364" s="80"/>
    </row>
    <row r="365" spans="1:12" s="27" customFormat="1" ht="15" customHeight="1" x14ac:dyDescent="0.2">
      <c r="A365" s="1450"/>
      <c r="B365" s="1450"/>
      <c r="C365" s="1450"/>
      <c r="D365" s="1450"/>
      <c r="E365" s="712" t="s">
        <v>302</v>
      </c>
      <c r="F365" s="720">
        <f>F377+F389+F401</f>
        <v>0</v>
      </c>
      <c r="G365" s="720">
        <f>G377+G389+G401</f>
        <v>0</v>
      </c>
      <c r="H365" s="720">
        <f t="shared" si="55"/>
        <v>0</v>
      </c>
      <c r="I365" s="80"/>
      <c r="J365" s="80"/>
      <c r="K365" s="80"/>
      <c r="L365" s="80"/>
    </row>
    <row r="366" spans="1:12" s="27" customFormat="1" ht="15" customHeight="1" x14ac:dyDescent="0.2">
      <c r="A366" s="1450"/>
      <c r="B366" s="1450"/>
      <c r="C366" s="1450"/>
      <c r="D366" s="1450"/>
      <c r="E366" s="712" t="s">
        <v>303</v>
      </c>
      <c r="F366" s="720">
        <f t="shared" ref="F366:G367" si="58">F378+F390+F402</f>
        <v>0</v>
      </c>
      <c r="G366" s="720">
        <f t="shared" si="58"/>
        <v>0</v>
      </c>
      <c r="H366" s="720">
        <f t="shared" si="55"/>
        <v>0</v>
      </c>
      <c r="I366" s="80"/>
      <c r="J366" s="80"/>
      <c r="K366" s="80"/>
      <c r="L366" s="80"/>
    </row>
    <row r="367" spans="1:12" s="27" customFormat="1" ht="15" customHeight="1" x14ac:dyDescent="0.2">
      <c r="A367" s="1450"/>
      <c r="B367" s="1450"/>
      <c r="C367" s="1450"/>
      <c r="D367" s="1450"/>
      <c r="E367" s="712" t="s">
        <v>304</v>
      </c>
      <c r="F367" s="720">
        <f t="shared" si="58"/>
        <v>3</v>
      </c>
      <c r="G367" s="720">
        <f t="shared" si="58"/>
        <v>0</v>
      </c>
      <c r="H367" s="720">
        <f t="shared" si="55"/>
        <v>3</v>
      </c>
      <c r="I367" s="80"/>
      <c r="J367" s="80"/>
      <c r="K367" s="80"/>
      <c r="L367" s="80"/>
    </row>
    <row r="368" spans="1:12" s="27" customFormat="1" ht="15" customHeight="1" x14ac:dyDescent="0.2">
      <c r="A368" s="1440"/>
      <c r="B368" s="1440"/>
      <c r="C368" s="1440"/>
      <c r="D368" s="1451"/>
      <c r="E368" s="174" t="s">
        <v>211</v>
      </c>
      <c r="F368" s="721"/>
      <c r="G368" s="721"/>
      <c r="H368" s="721"/>
      <c r="I368" s="80"/>
      <c r="J368" s="80"/>
      <c r="K368" s="80"/>
      <c r="L368" s="80"/>
    </row>
    <row r="369" spans="1:12" s="27" customFormat="1" ht="15" customHeight="1" x14ac:dyDescent="0.2">
      <c r="A369" s="1440"/>
      <c r="B369" s="1440"/>
      <c r="C369" s="1440"/>
      <c r="D369" s="1451"/>
      <c r="E369" s="713" t="s">
        <v>302</v>
      </c>
      <c r="F369" s="721">
        <f>F373+F377</f>
        <v>0</v>
      </c>
      <c r="G369" s="721">
        <f>G373+G377</f>
        <v>0</v>
      </c>
      <c r="H369" s="721">
        <f>SUM(F369:G369)</f>
        <v>0</v>
      </c>
      <c r="I369" s="80"/>
      <c r="J369" s="80"/>
      <c r="K369" s="80"/>
      <c r="L369" s="80"/>
    </row>
    <row r="370" spans="1:12" s="27" customFormat="1" ht="15" customHeight="1" x14ac:dyDescent="0.2">
      <c r="A370" s="1440"/>
      <c r="B370" s="1440"/>
      <c r="C370" s="1440"/>
      <c r="D370" s="1451"/>
      <c r="E370" s="713" t="s">
        <v>303</v>
      </c>
      <c r="F370" s="721">
        <f t="shared" ref="F370:G371" si="59">F374+F378</f>
        <v>0</v>
      </c>
      <c r="G370" s="721">
        <f t="shared" si="59"/>
        <v>0</v>
      </c>
      <c r="H370" s="721">
        <f t="shared" ref="H370:H402" si="60">SUM(F370:G370)</f>
        <v>0</v>
      </c>
      <c r="I370" s="80"/>
      <c r="J370" s="80"/>
      <c r="K370" s="80"/>
      <c r="L370" s="80"/>
    </row>
    <row r="371" spans="1:12" s="27" customFormat="1" ht="15" customHeight="1" x14ac:dyDescent="0.2">
      <c r="A371" s="1440"/>
      <c r="B371" s="1440"/>
      <c r="C371" s="1440"/>
      <c r="D371" s="1451"/>
      <c r="E371" s="713" t="s">
        <v>304</v>
      </c>
      <c r="F371" s="721">
        <f t="shared" si="59"/>
        <v>186492</v>
      </c>
      <c r="G371" s="721">
        <f t="shared" si="59"/>
        <v>0</v>
      </c>
      <c r="H371" s="721">
        <f t="shared" si="60"/>
        <v>186492</v>
      </c>
      <c r="I371" s="80"/>
      <c r="J371" s="80"/>
      <c r="K371" s="80"/>
      <c r="L371" s="80"/>
    </row>
    <row r="372" spans="1:12" s="27" customFormat="1" ht="15" customHeight="1" x14ac:dyDescent="0.2">
      <c r="A372" s="1440"/>
      <c r="B372" s="1440"/>
      <c r="C372" s="1440"/>
      <c r="D372" s="1451" t="s">
        <v>54</v>
      </c>
      <c r="E372" s="171" t="s">
        <v>65</v>
      </c>
      <c r="F372" s="721"/>
      <c r="G372" s="721"/>
      <c r="H372" s="721">
        <f t="shared" si="60"/>
        <v>0</v>
      </c>
      <c r="I372" s="80"/>
      <c r="J372" s="80"/>
      <c r="K372" s="80"/>
      <c r="L372" s="80"/>
    </row>
    <row r="373" spans="1:12" s="27" customFormat="1" ht="15" customHeight="1" x14ac:dyDescent="0.2">
      <c r="A373" s="1440"/>
      <c r="B373" s="1440"/>
      <c r="C373" s="1440"/>
      <c r="D373" s="1451"/>
      <c r="E373" s="713" t="s">
        <v>302</v>
      </c>
      <c r="F373" s="721">
        <v>0</v>
      </c>
      <c r="G373" s="721"/>
      <c r="H373" s="721">
        <f t="shared" si="60"/>
        <v>0</v>
      </c>
      <c r="I373" s="80"/>
      <c r="J373" s="80"/>
      <c r="K373" s="80"/>
      <c r="L373" s="80"/>
    </row>
    <row r="374" spans="1:12" s="27" customFormat="1" ht="15" customHeight="1" x14ac:dyDescent="0.2">
      <c r="A374" s="1440"/>
      <c r="B374" s="1440"/>
      <c r="C374" s="1440"/>
      <c r="D374" s="1451"/>
      <c r="E374" s="713" t="s">
        <v>303</v>
      </c>
      <c r="F374" s="721">
        <v>0</v>
      </c>
      <c r="G374" s="721"/>
      <c r="H374" s="721">
        <f t="shared" si="60"/>
        <v>0</v>
      </c>
      <c r="I374" s="80"/>
      <c r="J374" s="80"/>
      <c r="K374" s="80"/>
      <c r="L374" s="80"/>
    </row>
    <row r="375" spans="1:12" s="27" customFormat="1" ht="15" customHeight="1" x14ac:dyDescent="0.2">
      <c r="A375" s="1440"/>
      <c r="B375" s="1440"/>
      <c r="C375" s="1440"/>
      <c r="D375" s="1451"/>
      <c r="E375" s="713" t="s">
        <v>304</v>
      </c>
      <c r="F375" s="721">
        <v>186492</v>
      </c>
      <c r="G375" s="721"/>
      <c r="H375" s="721">
        <f t="shared" si="60"/>
        <v>186492</v>
      </c>
      <c r="I375" s="80"/>
      <c r="J375" s="80"/>
      <c r="K375" s="80"/>
      <c r="L375" s="80"/>
    </row>
    <row r="376" spans="1:12" s="27" customFormat="1" ht="15" customHeight="1" x14ac:dyDescent="0.2">
      <c r="A376" s="1440"/>
      <c r="B376" s="1440"/>
      <c r="C376" s="1440"/>
      <c r="D376" s="1417" t="s">
        <v>55</v>
      </c>
      <c r="E376" s="172" t="s">
        <v>66</v>
      </c>
      <c r="F376" s="721"/>
      <c r="G376" s="721"/>
      <c r="H376" s="721">
        <f t="shared" si="60"/>
        <v>0</v>
      </c>
      <c r="I376" s="80"/>
      <c r="J376" s="80"/>
      <c r="K376" s="80"/>
      <c r="L376" s="80"/>
    </row>
    <row r="377" spans="1:12" s="27" customFormat="1" ht="15" customHeight="1" x14ac:dyDescent="0.2">
      <c r="A377" s="1440"/>
      <c r="B377" s="1440"/>
      <c r="C377" s="1440"/>
      <c r="D377" s="1418"/>
      <c r="E377" s="713" t="s">
        <v>302</v>
      </c>
      <c r="F377" s="721"/>
      <c r="G377" s="721"/>
      <c r="H377" s="721">
        <f t="shared" si="60"/>
        <v>0</v>
      </c>
      <c r="I377" s="80"/>
      <c r="J377" s="80"/>
      <c r="K377" s="80"/>
      <c r="L377" s="80"/>
    </row>
    <row r="378" spans="1:12" s="27" customFormat="1" ht="15" customHeight="1" x14ac:dyDescent="0.2">
      <c r="A378" s="1440"/>
      <c r="B378" s="1440"/>
      <c r="C378" s="1440"/>
      <c r="D378" s="1418"/>
      <c r="E378" s="713" t="s">
        <v>303</v>
      </c>
      <c r="F378" s="721"/>
      <c r="G378" s="721"/>
      <c r="H378" s="721">
        <f t="shared" si="60"/>
        <v>0</v>
      </c>
      <c r="I378" s="80"/>
      <c r="J378" s="80"/>
      <c r="K378" s="80"/>
      <c r="L378" s="80"/>
    </row>
    <row r="379" spans="1:12" s="27" customFormat="1" ht="15" customHeight="1" x14ac:dyDescent="0.2">
      <c r="A379" s="1440"/>
      <c r="B379" s="1440"/>
      <c r="C379" s="1440"/>
      <c r="D379" s="1464"/>
      <c r="E379" s="713" t="s">
        <v>304</v>
      </c>
      <c r="F379" s="721"/>
      <c r="G379" s="721"/>
      <c r="H379" s="721">
        <f t="shared" si="60"/>
        <v>0</v>
      </c>
      <c r="I379" s="80"/>
      <c r="J379" s="80"/>
      <c r="K379" s="80"/>
      <c r="L379" s="80"/>
    </row>
    <row r="380" spans="1:12" s="27" customFormat="1" ht="15" customHeight="1" x14ac:dyDescent="0.2">
      <c r="A380" s="1440"/>
      <c r="B380" s="1440"/>
      <c r="C380" s="1440"/>
      <c r="D380" s="1417"/>
      <c r="E380" s="495" t="s">
        <v>191</v>
      </c>
      <c r="F380" s="721">
        <f>F385+F389</f>
        <v>14000</v>
      </c>
      <c r="G380" s="721">
        <f>G385+G389</f>
        <v>0</v>
      </c>
      <c r="H380" s="721"/>
      <c r="I380" s="80"/>
      <c r="J380" s="80"/>
      <c r="K380" s="80"/>
      <c r="L380" s="80"/>
    </row>
    <row r="381" spans="1:12" s="27" customFormat="1" ht="15" customHeight="1" x14ac:dyDescent="0.2">
      <c r="A381" s="1440"/>
      <c r="B381" s="1440"/>
      <c r="C381" s="1440"/>
      <c r="D381" s="1418"/>
      <c r="E381" s="713" t="s">
        <v>302</v>
      </c>
      <c r="F381" s="721">
        <f t="shared" ref="F381:F382" si="61">F386+F390</f>
        <v>14000</v>
      </c>
      <c r="G381" s="721">
        <f t="shared" ref="G381:G382" si="62">G386+G390</f>
        <v>0</v>
      </c>
      <c r="H381" s="721">
        <f t="shared" si="60"/>
        <v>14000</v>
      </c>
      <c r="I381" s="80"/>
      <c r="J381" s="80"/>
      <c r="K381" s="80"/>
      <c r="L381" s="80"/>
    </row>
    <row r="382" spans="1:12" s="27" customFormat="1" ht="15" customHeight="1" x14ac:dyDescent="0.2">
      <c r="A382" s="1440"/>
      <c r="B382" s="1440"/>
      <c r="C382" s="1440"/>
      <c r="D382" s="1418"/>
      <c r="E382" s="713" t="s">
        <v>303</v>
      </c>
      <c r="F382" s="721">
        <f t="shared" si="61"/>
        <v>2959</v>
      </c>
      <c r="G382" s="721">
        <f t="shared" si="62"/>
        <v>0</v>
      </c>
      <c r="H382" s="721">
        <f t="shared" si="60"/>
        <v>2959</v>
      </c>
      <c r="I382" s="80"/>
      <c r="J382" s="80"/>
      <c r="K382" s="80"/>
      <c r="L382" s="80"/>
    </row>
    <row r="383" spans="1:12" s="27" customFormat="1" ht="15" customHeight="1" x14ac:dyDescent="0.2">
      <c r="A383" s="1440"/>
      <c r="B383" s="1440"/>
      <c r="C383" s="1440"/>
      <c r="D383" s="1464"/>
      <c r="E383" s="713" t="s">
        <v>304</v>
      </c>
      <c r="F383" s="721"/>
      <c r="G383" s="721"/>
      <c r="H383" s="721">
        <f t="shared" si="60"/>
        <v>0</v>
      </c>
      <c r="I383" s="80"/>
      <c r="J383" s="80"/>
      <c r="K383" s="80"/>
      <c r="L383" s="80"/>
    </row>
    <row r="384" spans="1:12" s="27" customFormat="1" ht="15" customHeight="1" x14ac:dyDescent="0.2">
      <c r="A384" s="1440"/>
      <c r="B384" s="1440"/>
      <c r="C384" s="1440"/>
      <c r="D384" s="1417" t="s">
        <v>54</v>
      </c>
      <c r="E384" s="173" t="s">
        <v>65</v>
      </c>
      <c r="F384" s="721"/>
      <c r="G384" s="721"/>
      <c r="H384" s="721">
        <f t="shared" si="60"/>
        <v>0</v>
      </c>
      <c r="I384" s="80"/>
      <c r="J384" s="80"/>
      <c r="K384" s="80"/>
      <c r="L384" s="80"/>
    </row>
    <row r="385" spans="1:12" s="27" customFormat="1" ht="15" customHeight="1" x14ac:dyDescent="0.2">
      <c r="A385" s="1440"/>
      <c r="B385" s="1440"/>
      <c r="C385" s="1440"/>
      <c r="D385" s="1418"/>
      <c r="E385" s="713" t="s">
        <v>302</v>
      </c>
      <c r="F385" s="721">
        <v>14000</v>
      </c>
      <c r="G385" s="721"/>
      <c r="H385" s="721">
        <f t="shared" si="60"/>
        <v>14000</v>
      </c>
      <c r="I385" s="80"/>
      <c r="J385" s="80"/>
      <c r="K385" s="80"/>
      <c r="L385" s="80"/>
    </row>
    <row r="386" spans="1:12" s="27" customFormat="1" ht="15" customHeight="1" x14ac:dyDescent="0.2">
      <c r="A386" s="1440"/>
      <c r="B386" s="1440"/>
      <c r="C386" s="1440"/>
      <c r="D386" s="1418"/>
      <c r="E386" s="713" t="s">
        <v>303</v>
      </c>
      <c r="F386" s="721">
        <v>14000</v>
      </c>
      <c r="G386" s="721"/>
      <c r="H386" s="721">
        <f t="shared" si="60"/>
        <v>14000</v>
      </c>
      <c r="I386" s="80"/>
      <c r="J386" s="80"/>
      <c r="K386" s="80"/>
      <c r="L386" s="80"/>
    </row>
    <row r="387" spans="1:12" s="27" customFormat="1" ht="15" customHeight="1" x14ac:dyDescent="0.2">
      <c r="A387" s="1440"/>
      <c r="B387" s="1440"/>
      <c r="C387" s="1440"/>
      <c r="D387" s="1464"/>
      <c r="E387" s="713" t="s">
        <v>304</v>
      </c>
      <c r="F387" s="721">
        <f>1984+972</f>
        <v>2956</v>
      </c>
      <c r="G387" s="721"/>
      <c r="H387" s="721">
        <f t="shared" si="60"/>
        <v>2956</v>
      </c>
      <c r="I387" s="80"/>
      <c r="J387" s="80"/>
      <c r="K387" s="80"/>
      <c r="L387" s="80"/>
    </row>
    <row r="388" spans="1:12" s="27" customFormat="1" ht="16.5" customHeight="1" x14ac:dyDescent="0.2">
      <c r="A388" s="1440"/>
      <c r="B388" s="1440"/>
      <c r="C388" s="1440"/>
      <c r="D388" s="1417" t="s">
        <v>55</v>
      </c>
      <c r="E388" s="172" t="s">
        <v>66</v>
      </c>
      <c r="F388" s="721"/>
      <c r="G388" s="721"/>
      <c r="H388" s="721">
        <f t="shared" si="60"/>
        <v>0</v>
      </c>
      <c r="I388" s="80"/>
      <c r="J388" s="80"/>
      <c r="K388" s="80"/>
      <c r="L388" s="80"/>
    </row>
    <row r="389" spans="1:12" s="27" customFormat="1" ht="16.5" customHeight="1" x14ac:dyDescent="0.2">
      <c r="A389" s="1440"/>
      <c r="B389" s="1440"/>
      <c r="C389" s="1440"/>
      <c r="D389" s="1418"/>
      <c r="E389" s="713" t="s">
        <v>302</v>
      </c>
      <c r="F389" s="721">
        <v>0</v>
      </c>
      <c r="G389" s="721"/>
      <c r="H389" s="721">
        <f t="shared" si="60"/>
        <v>0</v>
      </c>
      <c r="I389" s="80"/>
      <c r="J389" s="80"/>
      <c r="K389" s="80"/>
      <c r="L389" s="80"/>
    </row>
    <row r="390" spans="1:12" s="27" customFormat="1" ht="16.5" customHeight="1" x14ac:dyDescent="0.2">
      <c r="A390" s="1440"/>
      <c r="B390" s="1440"/>
      <c r="C390" s="1440"/>
      <c r="D390" s="1418"/>
      <c r="E390" s="713" t="s">
        <v>303</v>
      </c>
      <c r="F390" s="721">
        <v>0</v>
      </c>
      <c r="G390" s="721"/>
      <c r="H390" s="721">
        <f t="shared" si="60"/>
        <v>0</v>
      </c>
      <c r="I390" s="80"/>
      <c r="J390" s="80"/>
      <c r="K390" s="80"/>
      <c r="L390" s="80"/>
    </row>
    <row r="391" spans="1:12" s="27" customFormat="1" ht="16.5" customHeight="1" x14ac:dyDescent="0.2">
      <c r="A391" s="1440"/>
      <c r="B391" s="1440"/>
      <c r="C391" s="1440"/>
      <c r="D391" s="1464"/>
      <c r="E391" s="713" t="s">
        <v>304</v>
      </c>
      <c r="F391" s="721">
        <v>3</v>
      </c>
      <c r="G391" s="721"/>
      <c r="H391" s="721">
        <f t="shared" si="60"/>
        <v>3</v>
      </c>
      <c r="I391" s="80"/>
      <c r="J391" s="80"/>
      <c r="K391" s="80"/>
      <c r="L391" s="80"/>
    </row>
    <row r="392" spans="1:12" s="27" customFormat="1" ht="15" customHeight="1" x14ac:dyDescent="0.2">
      <c r="A392" s="1440"/>
      <c r="B392" s="1440"/>
      <c r="C392" s="1440"/>
      <c r="D392" s="1417"/>
      <c r="E392" s="174" t="s">
        <v>192</v>
      </c>
      <c r="F392" s="721"/>
      <c r="G392" s="721"/>
      <c r="H392" s="721"/>
      <c r="I392" s="80"/>
      <c r="J392" s="80"/>
      <c r="K392" s="80"/>
      <c r="L392" s="80"/>
    </row>
    <row r="393" spans="1:12" s="27" customFormat="1" ht="15" customHeight="1" x14ac:dyDescent="0.2">
      <c r="A393" s="1440"/>
      <c r="B393" s="1440"/>
      <c r="C393" s="1440"/>
      <c r="D393" s="1418"/>
      <c r="E393" s="713" t="s">
        <v>302</v>
      </c>
      <c r="F393" s="721">
        <f>F397+F401</f>
        <v>0</v>
      </c>
      <c r="G393" s="721">
        <f>G397+G401</f>
        <v>0</v>
      </c>
      <c r="H393" s="721">
        <f t="shared" si="60"/>
        <v>0</v>
      </c>
      <c r="I393" s="80"/>
      <c r="J393" s="80"/>
      <c r="K393" s="80"/>
      <c r="L393" s="80"/>
    </row>
    <row r="394" spans="1:12" s="27" customFormat="1" ht="15" customHeight="1" x14ac:dyDescent="0.2">
      <c r="A394" s="1440"/>
      <c r="B394" s="1440"/>
      <c r="C394" s="1440"/>
      <c r="D394" s="1418"/>
      <c r="E394" s="713" t="s">
        <v>303</v>
      </c>
      <c r="F394" s="721">
        <f t="shared" ref="F394:F395" si="63">F398+F402</f>
        <v>0</v>
      </c>
      <c r="G394" s="721">
        <f t="shared" ref="G394:G395" si="64">G398+G402</f>
        <v>0</v>
      </c>
      <c r="H394" s="721">
        <f t="shared" si="60"/>
        <v>0</v>
      </c>
      <c r="I394" s="80"/>
      <c r="J394" s="80"/>
      <c r="K394" s="80"/>
      <c r="L394" s="80"/>
    </row>
    <row r="395" spans="1:12" s="27" customFormat="1" ht="15" customHeight="1" x14ac:dyDescent="0.2">
      <c r="A395" s="1440"/>
      <c r="B395" s="1440"/>
      <c r="C395" s="1440"/>
      <c r="D395" s="1464"/>
      <c r="E395" s="713" t="s">
        <v>304</v>
      </c>
      <c r="F395" s="721">
        <f t="shared" si="63"/>
        <v>2146</v>
      </c>
      <c r="G395" s="721">
        <f t="shared" si="64"/>
        <v>0</v>
      </c>
      <c r="H395" s="721">
        <f t="shared" si="60"/>
        <v>2146</v>
      </c>
      <c r="I395" s="80"/>
      <c r="J395" s="80"/>
      <c r="K395" s="80"/>
      <c r="L395" s="80"/>
    </row>
    <row r="396" spans="1:12" s="27" customFormat="1" ht="15" customHeight="1" x14ac:dyDescent="0.2">
      <c r="A396" s="1440"/>
      <c r="B396" s="1440"/>
      <c r="C396" s="1440"/>
      <c r="D396" s="1417" t="s">
        <v>54</v>
      </c>
      <c r="E396" s="173" t="s">
        <v>65</v>
      </c>
      <c r="F396" s="721"/>
      <c r="G396" s="721"/>
      <c r="H396" s="721">
        <f t="shared" si="60"/>
        <v>0</v>
      </c>
      <c r="I396" s="80"/>
      <c r="J396" s="80"/>
      <c r="K396" s="80"/>
      <c r="L396" s="80"/>
    </row>
    <row r="397" spans="1:12" s="27" customFormat="1" ht="15" customHeight="1" x14ac:dyDescent="0.2">
      <c r="A397" s="1440"/>
      <c r="B397" s="1440"/>
      <c r="C397" s="1440"/>
      <c r="D397" s="1418"/>
      <c r="E397" s="713" t="s">
        <v>302</v>
      </c>
      <c r="F397" s="721">
        <v>0</v>
      </c>
      <c r="G397" s="721"/>
      <c r="H397" s="721">
        <f t="shared" si="60"/>
        <v>0</v>
      </c>
      <c r="I397" s="80"/>
      <c r="J397" s="80"/>
      <c r="K397" s="80"/>
      <c r="L397" s="80"/>
    </row>
    <row r="398" spans="1:12" s="27" customFormat="1" ht="15" customHeight="1" x14ac:dyDescent="0.2">
      <c r="A398" s="1440"/>
      <c r="B398" s="1440"/>
      <c r="C398" s="1440"/>
      <c r="D398" s="1418"/>
      <c r="E398" s="713" t="s">
        <v>303</v>
      </c>
      <c r="F398" s="721">
        <v>0</v>
      </c>
      <c r="G398" s="721"/>
      <c r="H398" s="721">
        <f t="shared" si="60"/>
        <v>0</v>
      </c>
      <c r="I398" s="80"/>
      <c r="J398" s="80"/>
      <c r="K398" s="80"/>
      <c r="L398" s="80"/>
    </row>
    <row r="399" spans="1:12" s="27" customFormat="1" ht="15" customHeight="1" x14ac:dyDescent="0.2">
      <c r="A399" s="1440"/>
      <c r="B399" s="1440"/>
      <c r="C399" s="1440"/>
      <c r="D399" s="1464"/>
      <c r="E399" s="713" t="s">
        <v>304</v>
      </c>
      <c r="F399" s="721">
        <v>2146</v>
      </c>
      <c r="G399" s="721"/>
      <c r="H399" s="721">
        <f t="shared" si="60"/>
        <v>2146</v>
      </c>
      <c r="I399" s="80"/>
      <c r="J399" s="80"/>
      <c r="K399" s="80"/>
      <c r="L399" s="80"/>
    </row>
    <row r="400" spans="1:12" s="27" customFormat="1" ht="15" customHeight="1" x14ac:dyDescent="0.2">
      <c r="A400" s="1440"/>
      <c r="B400" s="1440"/>
      <c r="C400" s="1440"/>
      <c r="D400" s="1417" t="s">
        <v>55</v>
      </c>
      <c r="E400" s="175" t="s">
        <v>66</v>
      </c>
      <c r="F400" s="721"/>
      <c r="G400" s="721"/>
      <c r="H400" s="721">
        <f t="shared" si="60"/>
        <v>0</v>
      </c>
      <c r="I400" s="80"/>
      <c r="J400" s="80"/>
      <c r="K400" s="80"/>
      <c r="L400" s="80"/>
    </row>
    <row r="401" spans="1:12" s="27" customFormat="1" ht="15" customHeight="1" x14ac:dyDescent="0.2">
      <c r="A401" s="1440"/>
      <c r="B401" s="1440"/>
      <c r="C401" s="1440"/>
      <c r="D401" s="1418"/>
      <c r="E401" s="713" t="s">
        <v>302</v>
      </c>
      <c r="F401" s="721"/>
      <c r="G401" s="721"/>
      <c r="H401" s="721">
        <f t="shared" si="60"/>
        <v>0</v>
      </c>
      <c r="I401" s="80"/>
      <c r="J401" s="80"/>
      <c r="K401" s="80"/>
      <c r="L401" s="80"/>
    </row>
    <row r="402" spans="1:12" s="27" customFormat="1" ht="15" customHeight="1" x14ac:dyDescent="0.2">
      <c r="A402" s="1440"/>
      <c r="B402" s="1440"/>
      <c r="C402" s="1440"/>
      <c r="D402" s="1418"/>
      <c r="E402" s="713" t="s">
        <v>303</v>
      </c>
      <c r="F402" s="721"/>
      <c r="G402" s="721"/>
      <c r="H402" s="721">
        <f t="shared" si="60"/>
        <v>0</v>
      </c>
      <c r="I402" s="80"/>
      <c r="J402" s="80"/>
      <c r="K402" s="80"/>
      <c r="L402" s="80"/>
    </row>
    <row r="403" spans="1:12" s="27" customFormat="1" ht="15" customHeight="1" x14ac:dyDescent="0.2">
      <c r="A403" s="1440"/>
      <c r="B403" s="1440"/>
      <c r="C403" s="1440"/>
      <c r="D403" s="1464"/>
      <c r="E403" s="713" t="s">
        <v>304</v>
      </c>
      <c r="F403" s="721"/>
      <c r="G403" s="721"/>
      <c r="H403" s="721"/>
      <c r="I403" s="80"/>
      <c r="J403" s="80"/>
      <c r="K403" s="80"/>
      <c r="L403" s="80"/>
    </row>
    <row r="404" spans="1:12" ht="14.25" customHeight="1" x14ac:dyDescent="0.2">
      <c r="A404" s="1551" t="s">
        <v>110</v>
      </c>
      <c r="B404" s="1551"/>
      <c r="C404" s="1551"/>
      <c r="D404" s="1551"/>
      <c r="E404" s="1552"/>
      <c r="F404" s="167"/>
      <c r="G404" s="176"/>
      <c r="H404" s="177"/>
      <c r="I404" s="83"/>
      <c r="J404" s="78"/>
      <c r="K404" s="78"/>
      <c r="L404" s="78"/>
    </row>
    <row r="405" spans="1:12" ht="14.25" customHeight="1" x14ac:dyDescent="0.2">
      <c r="A405" s="1491"/>
      <c r="B405" s="1492"/>
      <c r="C405" s="1492"/>
      <c r="D405" s="1493"/>
      <c r="E405" s="749" t="s">
        <v>302</v>
      </c>
      <c r="F405" s="167">
        <f>F409+F413</f>
        <v>0</v>
      </c>
      <c r="G405" s="167">
        <f>G409+G413</f>
        <v>1000000</v>
      </c>
      <c r="H405" s="177">
        <f>F405+G405</f>
        <v>1000000</v>
      </c>
      <c r="I405" s="83"/>
      <c r="J405" s="78"/>
      <c r="K405" s="78"/>
      <c r="L405" s="78"/>
    </row>
    <row r="406" spans="1:12" ht="14.25" customHeight="1" x14ac:dyDescent="0.2">
      <c r="A406" s="1494"/>
      <c r="B406" s="1495"/>
      <c r="C406" s="1495"/>
      <c r="D406" s="1496"/>
      <c r="E406" s="749" t="s">
        <v>303</v>
      </c>
      <c r="F406" s="167">
        <f t="shared" ref="F406:G407" si="65">F410+F414</f>
        <v>0</v>
      </c>
      <c r="G406" s="167">
        <f t="shared" si="65"/>
        <v>1000000</v>
      </c>
      <c r="H406" s="177">
        <f t="shared" ref="H406:H415" si="66">F406+G406</f>
        <v>1000000</v>
      </c>
      <c r="I406" s="83"/>
      <c r="J406" s="78"/>
      <c r="K406" s="78"/>
      <c r="L406" s="78"/>
    </row>
    <row r="407" spans="1:12" ht="14.25" customHeight="1" x14ac:dyDescent="0.2">
      <c r="A407" s="1497"/>
      <c r="B407" s="1498"/>
      <c r="C407" s="1498"/>
      <c r="D407" s="1499"/>
      <c r="E407" s="749" t="s">
        <v>304</v>
      </c>
      <c r="F407" s="167">
        <f t="shared" si="65"/>
        <v>0</v>
      </c>
      <c r="G407" s="167">
        <f t="shared" si="65"/>
        <v>0</v>
      </c>
      <c r="H407" s="177">
        <f t="shared" si="66"/>
        <v>0</v>
      </c>
      <c r="I407" s="83"/>
      <c r="J407" s="78"/>
      <c r="K407" s="78"/>
      <c r="L407" s="78"/>
    </row>
    <row r="408" spans="1:12" ht="14.25" customHeight="1" x14ac:dyDescent="0.2">
      <c r="A408" s="1491"/>
      <c r="B408" s="1492"/>
      <c r="C408" s="1493"/>
      <c r="D408" s="1500" t="s">
        <v>54</v>
      </c>
      <c r="E408" s="750" t="s">
        <v>65</v>
      </c>
      <c r="F408" s="166"/>
      <c r="G408" s="166"/>
      <c r="H408" s="177"/>
      <c r="I408" s="83"/>
      <c r="J408" s="78"/>
      <c r="K408" s="78"/>
      <c r="L408" s="78"/>
    </row>
    <row r="409" spans="1:12" ht="14.25" customHeight="1" x14ac:dyDescent="0.2">
      <c r="A409" s="1494"/>
      <c r="B409" s="1495"/>
      <c r="C409" s="1496"/>
      <c r="D409" s="1501"/>
      <c r="E409" s="749" t="s">
        <v>302</v>
      </c>
      <c r="F409" s="166">
        <f>F421</f>
        <v>0</v>
      </c>
      <c r="G409" s="166">
        <f>G421</f>
        <v>1000000</v>
      </c>
      <c r="H409" s="177">
        <f t="shared" si="66"/>
        <v>1000000</v>
      </c>
      <c r="I409" s="83"/>
      <c r="J409" s="78"/>
      <c r="K409" s="78"/>
      <c r="L409" s="78"/>
    </row>
    <row r="410" spans="1:12" ht="14.25" customHeight="1" x14ac:dyDescent="0.2">
      <c r="A410" s="1494"/>
      <c r="B410" s="1495"/>
      <c r="C410" s="1496"/>
      <c r="D410" s="1501"/>
      <c r="E410" s="749" t="s">
        <v>303</v>
      </c>
      <c r="F410" s="166">
        <f t="shared" ref="F410:G411" si="67">F422</f>
        <v>0</v>
      </c>
      <c r="G410" s="166">
        <f t="shared" si="67"/>
        <v>1000000</v>
      </c>
      <c r="H410" s="177">
        <f t="shared" si="66"/>
        <v>1000000</v>
      </c>
      <c r="I410" s="83"/>
      <c r="J410" s="78"/>
      <c r="K410" s="78"/>
      <c r="L410" s="78"/>
    </row>
    <row r="411" spans="1:12" ht="14.25" customHeight="1" x14ac:dyDescent="0.2">
      <c r="A411" s="1494"/>
      <c r="B411" s="1495"/>
      <c r="C411" s="1496"/>
      <c r="D411" s="1502"/>
      <c r="E411" s="749" t="s">
        <v>304</v>
      </c>
      <c r="F411" s="166">
        <f t="shared" si="67"/>
        <v>0</v>
      </c>
      <c r="G411" s="166">
        <f t="shared" si="67"/>
        <v>0</v>
      </c>
      <c r="H411" s="177">
        <f t="shared" si="66"/>
        <v>0</v>
      </c>
      <c r="I411" s="83"/>
      <c r="J411" s="78"/>
      <c r="K411" s="78"/>
      <c r="L411" s="78"/>
    </row>
    <row r="412" spans="1:12" ht="14.25" customHeight="1" x14ac:dyDescent="0.2">
      <c r="A412" s="1494"/>
      <c r="B412" s="1495"/>
      <c r="C412" s="1496"/>
      <c r="D412" s="1500" t="s">
        <v>55</v>
      </c>
      <c r="E412" s="751" t="s">
        <v>66</v>
      </c>
      <c r="F412" s="166"/>
      <c r="G412" s="166"/>
      <c r="H412" s="177"/>
      <c r="I412" s="83"/>
      <c r="J412" s="78"/>
      <c r="K412" s="78"/>
      <c r="L412" s="78"/>
    </row>
    <row r="413" spans="1:12" ht="14.25" customHeight="1" x14ac:dyDescent="0.2">
      <c r="A413" s="1494"/>
      <c r="B413" s="1495"/>
      <c r="C413" s="1496"/>
      <c r="D413" s="1501"/>
      <c r="E413" s="749" t="s">
        <v>302</v>
      </c>
      <c r="F413" s="166">
        <f>F425</f>
        <v>0</v>
      </c>
      <c r="G413" s="166">
        <f>G425</f>
        <v>0</v>
      </c>
      <c r="H413" s="177">
        <f t="shared" si="66"/>
        <v>0</v>
      </c>
      <c r="I413" s="83"/>
      <c r="J413" s="78"/>
      <c r="K413" s="78"/>
      <c r="L413" s="78"/>
    </row>
    <row r="414" spans="1:12" ht="14.25" customHeight="1" x14ac:dyDescent="0.2">
      <c r="A414" s="1494"/>
      <c r="B414" s="1495"/>
      <c r="C414" s="1496"/>
      <c r="D414" s="1501"/>
      <c r="E414" s="749" t="s">
        <v>303</v>
      </c>
      <c r="F414" s="166">
        <f t="shared" ref="F414:G415" si="68">F426</f>
        <v>0</v>
      </c>
      <c r="G414" s="166">
        <f t="shared" si="68"/>
        <v>0</v>
      </c>
      <c r="H414" s="177">
        <f t="shared" si="66"/>
        <v>0</v>
      </c>
      <c r="I414" s="83"/>
      <c r="J414" s="78"/>
      <c r="K414" s="78"/>
      <c r="L414" s="78"/>
    </row>
    <row r="415" spans="1:12" ht="14.25" customHeight="1" x14ac:dyDescent="0.2">
      <c r="A415" s="1497"/>
      <c r="B415" s="1498"/>
      <c r="C415" s="1499"/>
      <c r="D415" s="1502"/>
      <c r="E415" s="749" t="s">
        <v>304</v>
      </c>
      <c r="F415" s="166">
        <f t="shared" si="68"/>
        <v>0</v>
      </c>
      <c r="G415" s="166">
        <f t="shared" si="68"/>
        <v>0</v>
      </c>
      <c r="H415" s="177">
        <f t="shared" si="66"/>
        <v>0</v>
      </c>
      <c r="I415" s="83"/>
      <c r="J415" s="78"/>
      <c r="K415" s="78"/>
      <c r="L415" s="78"/>
    </row>
    <row r="416" spans="1:12" ht="14.25" customHeight="1" x14ac:dyDescent="0.2">
      <c r="A416" s="1490">
        <v>1</v>
      </c>
      <c r="B416" s="1490"/>
      <c r="C416" s="1490" t="s">
        <v>161</v>
      </c>
      <c r="D416" s="1490"/>
      <c r="E416" s="717" t="s">
        <v>182</v>
      </c>
      <c r="F416" s="752"/>
      <c r="G416" s="752"/>
      <c r="H416" s="720"/>
      <c r="I416" s="78"/>
      <c r="J416" s="78"/>
      <c r="K416" s="78"/>
      <c r="L416" s="78"/>
    </row>
    <row r="417" spans="1:12" ht="14.25" customHeight="1" x14ac:dyDescent="0.2">
      <c r="A417" s="1490"/>
      <c r="B417" s="1490"/>
      <c r="C417" s="1490"/>
      <c r="D417" s="1490"/>
      <c r="E417" s="712" t="s">
        <v>302</v>
      </c>
      <c r="F417" s="752">
        <f>F421+F425</f>
        <v>0</v>
      </c>
      <c r="G417" s="752">
        <f>G421+G425</f>
        <v>1000000</v>
      </c>
      <c r="H417" s="720">
        <f>SUM(F417:G417)</f>
        <v>1000000</v>
      </c>
      <c r="I417" s="78"/>
      <c r="J417" s="78"/>
      <c r="K417" s="78"/>
      <c r="L417" s="78"/>
    </row>
    <row r="418" spans="1:12" ht="14.25" customHeight="1" x14ac:dyDescent="0.2">
      <c r="A418" s="1490"/>
      <c r="B418" s="1490"/>
      <c r="C418" s="1490"/>
      <c r="D418" s="1490"/>
      <c r="E418" s="712" t="s">
        <v>303</v>
      </c>
      <c r="F418" s="752">
        <f t="shared" ref="F418:G419" si="69">F422+F426</f>
        <v>0</v>
      </c>
      <c r="G418" s="752">
        <f t="shared" si="69"/>
        <v>1000000</v>
      </c>
      <c r="H418" s="720">
        <f t="shared" ref="H418:H427" si="70">SUM(F418:G418)</f>
        <v>1000000</v>
      </c>
      <c r="I418" s="78"/>
      <c r="J418" s="78"/>
      <c r="K418" s="78"/>
      <c r="L418" s="78"/>
    </row>
    <row r="419" spans="1:12" ht="14.25" customHeight="1" x14ac:dyDescent="0.2">
      <c r="A419" s="1490"/>
      <c r="B419" s="1490"/>
      <c r="C419" s="1490"/>
      <c r="D419" s="1490"/>
      <c r="E419" s="712" t="s">
        <v>304</v>
      </c>
      <c r="F419" s="752">
        <f t="shared" si="69"/>
        <v>0</v>
      </c>
      <c r="G419" s="752">
        <f t="shared" si="69"/>
        <v>0</v>
      </c>
      <c r="H419" s="720">
        <f t="shared" si="70"/>
        <v>0</v>
      </c>
      <c r="I419" s="78"/>
      <c r="J419" s="78"/>
      <c r="K419" s="78"/>
      <c r="L419" s="78"/>
    </row>
    <row r="420" spans="1:12" ht="14.25" customHeight="1" x14ac:dyDescent="0.2">
      <c r="A420" s="1490"/>
      <c r="B420" s="1490"/>
      <c r="C420" s="1490"/>
      <c r="D420" s="1490" t="s">
        <v>54</v>
      </c>
      <c r="E420" s="734" t="s">
        <v>65</v>
      </c>
      <c r="F420" s="752"/>
      <c r="G420" s="752"/>
      <c r="H420" s="720">
        <f t="shared" si="70"/>
        <v>0</v>
      </c>
      <c r="I420" s="78"/>
      <c r="J420" s="78"/>
      <c r="K420" s="78"/>
      <c r="L420" s="78"/>
    </row>
    <row r="421" spans="1:12" ht="14.25" customHeight="1" x14ac:dyDescent="0.2">
      <c r="A421" s="1490"/>
      <c r="B421" s="1490"/>
      <c r="C421" s="1490"/>
      <c r="D421" s="1490"/>
      <c r="E421" s="712" t="s">
        <v>302</v>
      </c>
      <c r="F421" s="752">
        <f>F433+F445+F457</f>
        <v>0</v>
      </c>
      <c r="G421" s="752">
        <f>G433+G445+G457</f>
        <v>1000000</v>
      </c>
      <c r="H421" s="720">
        <f t="shared" si="70"/>
        <v>1000000</v>
      </c>
      <c r="I421" s="78"/>
      <c r="J421" s="78"/>
      <c r="K421" s="78"/>
      <c r="L421" s="78"/>
    </row>
    <row r="422" spans="1:12" ht="14.25" customHeight="1" x14ac:dyDescent="0.2">
      <c r="A422" s="1490"/>
      <c r="B422" s="1490"/>
      <c r="C422" s="1490"/>
      <c r="D422" s="1490"/>
      <c r="E422" s="712" t="s">
        <v>303</v>
      </c>
      <c r="F422" s="752">
        <f t="shared" ref="F422:G423" si="71">F434+F446+F458</f>
        <v>0</v>
      </c>
      <c r="G422" s="752">
        <f t="shared" si="71"/>
        <v>1000000</v>
      </c>
      <c r="H422" s="720">
        <f t="shared" si="70"/>
        <v>1000000</v>
      </c>
      <c r="I422" s="78"/>
      <c r="J422" s="78"/>
      <c r="K422" s="78"/>
      <c r="L422" s="78"/>
    </row>
    <row r="423" spans="1:12" ht="14.25" customHeight="1" x14ac:dyDescent="0.2">
      <c r="A423" s="1490"/>
      <c r="B423" s="1490"/>
      <c r="C423" s="1490"/>
      <c r="D423" s="1490"/>
      <c r="E423" s="712" t="s">
        <v>304</v>
      </c>
      <c r="F423" s="752">
        <f t="shared" si="71"/>
        <v>0</v>
      </c>
      <c r="G423" s="752">
        <f t="shared" si="71"/>
        <v>0</v>
      </c>
      <c r="H423" s="720">
        <f t="shared" si="70"/>
        <v>0</v>
      </c>
      <c r="I423" s="78"/>
      <c r="J423" s="78"/>
      <c r="K423" s="78"/>
      <c r="L423" s="78"/>
    </row>
    <row r="424" spans="1:12" ht="14.25" customHeight="1" x14ac:dyDescent="0.2">
      <c r="A424" s="1490"/>
      <c r="B424" s="1490"/>
      <c r="C424" s="1490"/>
      <c r="D424" s="1490" t="s">
        <v>55</v>
      </c>
      <c r="E424" s="735" t="s">
        <v>66</v>
      </c>
      <c r="F424" s="752"/>
      <c r="G424" s="752"/>
      <c r="H424" s="720">
        <f t="shared" si="70"/>
        <v>0</v>
      </c>
      <c r="I424" s="78"/>
      <c r="J424" s="78"/>
      <c r="K424" s="78"/>
      <c r="L424" s="78"/>
    </row>
    <row r="425" spans="1:12" ht="14.25" customHeight="1" x14ac:dyDescent="0.2">
      <c r="A425" s="1490"/>
      <c r="B425" s="1490"/>
      <c r="C425" s="1490"/>
      <c r="D425" s="1490"/>
      <c r="E425" s="712" t="s">
        <v>302</v>
      </c>
      <c r="F425" s="752">
        <f>F437+F449+F461</f>
        <v>0</v>
      </c>
      <c r="G425" s="752">
        <f>G437+G449+G461</f>
        <v>0</v>
      </c>
      <c r="H425" s="720">
        <f t="shared" si="70"/>
        <v>0</v>
      </c>
      <c r="I425" s="78"/>
      <c r="J425" s="78"/>
      <c r="K425" s="78"/>
      <c r="L425" s="78"/>
    </row>
    <row r="426" spans="1:12" ht="14.25" customHeight="1" x14ac:dyDescent="0.2">
      <c r="A426" s="1490"/>
      <c r="B426" s="1490"/>
      <c r="C426" s="1490"/>
      <c r="D426" s="1490"/>
      <c r="E426" s="712" t="s">
        <v>303</v>
      </c>
      <c r="F426" s="752">
        <f t="shared" ref="F426:G427" si="72">F438+F450+F462</f>
        <v>0</v>
      </c>
      <c r="G426" s="752">
        <f t="shared" si="72"/>
        <v>0</v>
      </c>
      <c r="H426" s="720">
        <f t="shared" si="70"/>
        <v>0</v>
      </c>
      <c r="I426" s="78"/>
      <c r="J426" s="78"/>
      <c r="K426" s="78"/>
      <c r="L426" s="78"/>
    </row>
    <row r="427" spans="1:12" ht="14.25" customHeight="1" x14ac:dyDescent="0.2">
      <c r="A427" s="1490"/>
      <c r="B427" s="1490"/>
      <c r="C427" s="1490"/>
      <c r="D427" s="1490"/>
      <c r="E427" s="712" t="s">
        <v>304</v>
      </c>
      <c r="F427" s="752">
        <f t="shared" si="72"/>
        <v>0</v>
      </c>
      <c r="G427" s="752">
        <f t="shared" si="72"/>
        <v>0</v>
      </c>
      <c r="H427" s="720">
        <f t="shared" si="70"/>
        <v>0</v>
      </c>
      <c r="I427" s="78"/>
      <c r="J427" s="78"/>
      <c r="K427" s="78"/>
      <c r="L427" s="78"/>
    </row>
    <row r="428" spans="1:12" ht="14.25" customHeight="1" x14ac:dyDescent="0.2">
      <c r="A428" s="1440"/>
      <c r="B428" s="1440"/>
      <c r="C428" s="1489"/>
      <c r="D428" s="1489"/>
      <c r="E428" s="737" t="s">
        <v>211</v>
      </c>
      <c r="F428" s="164"/>
      <c r="G428" s="164"/>
      <c r="H428" s="721"/>
      <c r="I428" s="78"/>
      <c r="J428" s="78"/>
      <c r="K428" s="78"/>
      <c r="L428" s="78"/>
    </row>
    <row r="429" spans="1:12" ht="14.25" customHeight="1" x14ac:dyDescent="0.2">
      <c r="A429" s="1440"/>
      <c r="B429" s="1440"/>
      <c r="C429" s="1489"/>
      <c r="D429" s="1489"/>
      <c r="E429" s="713" t="s">
        <v>302</v>
      </c>
      <c r="F429" s="164">
        <f>F433+F437</f>
        <v>0</v>
      </c>
      <c r="G429" s="164">
        <f>G433+G437</f>
        <v>1000000</v>
      </c>
      <c r="H429" s="721">
        <f>F429+G429</f>
        <v>1000000</v>
      </c>
      <c r="I429" s="78"/>
      <c r="J429" s="78"/>
      <c r="K429" s="78"/>
      <c r="L429" s="78"/>
    </row>
    <row r="430" spans="1:12" ht="14.25" customHeight="1" x14ac:dyDescent="0.2">
      <c r="A430" s="1440"/>
      <c r="B430" s="1440"/>
      <c r="C430" s="1489"/>
      <c r="D430" s="1489"/>
      <c r="E430" s="713" t="s">
        <v>303</v>
      </c>
      <c r="F430" s="164">
        <f t="shared" ref="F430:G431" si="73">F434+F438</f>
        <v>0</v>
      </c>
      <c r="G430" s="164">
        <f t="shared" si="73"/>
        <v>1000000</v>
      </c>
      <c r="H430" s="721">
        <f t="shared" ref="H430:H463" si="74">F430+G430</f>
        <v>1000000</v>
      </c>
      <c r="I430" s="78"/>
      <c r="J430" s="78"/>
      <c r="K430" s="78"/>
      <c r="L430" s="78"/>
    </row>
    <row r="431" spans="1:12" ht="14.25" customHeight="1" x14ac:dyDescent="0.2">
      <c r="A431" s="1440"/>
      <c r="B431" s="1440"/>
      <c r="C431" s="1489"/>
      <c r="D431" s="1489"/>
      <c r="E431" s="713" t="s">
        <v>304</v>
      </c>
      <c r="F431" s="164">
        <f t="shared" si="73"/>
        <v>0</v>
      </c>
      <c r="G431" s="164">
        <f t="shared" si="73"/>
        <v>0</v>
      </c>
      <c r="H431" s="721">
        <f t="shared" si="74"/>
        <v>0</v>
      </c>
      <c r="I431" s="78"/>
      <c r="J431" s="78"/>
      <c r="K431" s="78"/>
      <c r="L431" s="78"/>
    </row>
    <row r="432" spans="1:12" ht="14.25" customHeight="1" x14ac:dyDescent="0.2">
      <c r="A432" s="1440"/>
      <c r="B432" s="1440"/>
      <c r="C432" s="1489"/>
      <c r="D432" s="1489" t="s">
        <v>54</v>
      </c>
      <c r="E432" s="117" t="s">
        <v>65</v>
      </c>
      <c r="F432" s="164"/>
      <c r="G432" s="721"/>
      <c r="H432" s="721">
        <f t="shared" si="74"/>
        <v>0</v>
      </c>
      <c r="I432" s="78"/>
      <c r="J432" s="78"/>
      <c r="K432" s="78"/>
      <c r="L432" s="78"/>
    </row>
    <row r="433" spans="1:12" ht="14.25" customHeight="1" x14ac:dyDescent="0.2">
      <c r="A433" s="1440"/>
      <c r="B433" s="1440"/>
      <c r="C433" s="1489"/>
      <c r="D433" s="1489"/>
      <c r="E433" s="713" t="s">
        <v>302</v>
      </c>
      <c r="F433" s="164"/>
      <c r="G433" s="721">
        <v>1000000</v>
      </c>
      <c r="H433" s="721">
        <f t="shared" si="74"/>
        <v>1000000</v>
      </c>
      <c r="I433" s="78"/>
      <c r="J433" s="78"/>
      <c r="K433" s="78"/>
      <c r="L433" s="78"/>
    </row>
    <row r="434" spans="1:12" ht="14.25" customHeight="1" x14ac:dyDescent="0.2">
      <c r="A434" s="1440"/>
      <c r="B434" s="1440"/>
      <c r="C434" s="1489"/>
      <c r="D434" s="1489"/>
      <c r="E434" s="713" t="s">
        <v>303</v>
      </c>
      <c r="F434" s="164"/>
      <c r="G434" s="721">
        <v>1000000</v>
      </c>
      <c r="H434" s="721">
        <f t="shared" si="74"/>
        <v>1000000</v>
      </c>
      <c r="I434" s="78"/>
      <c r="J434" s="78"/>
      <c r="K434" s="78"/>
      <c r="L434" s="78"/>
    </row>
    <row r="435" spans="1:12" ht="14.25" customHeight="1" x14ac:dyDescent="0.2">
      <c r="A435" s="1440"/>
      <c r="B435" s="1440"/>
      <c r="C435" s="1489"/>
      <c r="D435" s="1489"/>
      <c r="E435" s="713" t="s">
        <v>304</v>
      </c>
      <c r="F435" s="164"/>
      <c r="G435" s="721">
        <v>0</v>
      </c>
      <c r="H435" s="721">
        <f t="shared" si="74"/>
        <v>0</v>
      </c>
      <c r="I435" s="78"/>
      <c r="J435" s="78"/>
      <c r="K435" s="78"/>
      <c r="L435" s="78"/>
    </row>
    <row r="436" spans="1:12" ht="14.25" customHeight="1" x14ac:dyDescent="0.2">
      <c r="A436" s="1440"/>
      <c r="B436" s="1440"/>
      <c r="C436" s="1489"/>
      <c r="D436" s="1489" t="s">
        <v>55</v>
      </c>
      <c r="E436" s="325" t="s">
        <v>66</v>
      </c>
      <c r="F436" s="164"/>
      <c r="G436" s="721"/>
      <c r="H436" s="721">
        <f t="shared" si="74"/>
        <v>0</v>
      </c>
      <c r="I436" s="78"/>
      <c r="J436" s="78"/>
      <c r="K436" s="78"/>
      <c r="L436" s="78"/>
    </row>
    <row r="437" spans="1:12" ht="14.25" customHeight="1" x14ac:dyDescent="0.2">
      <c r="A437" s="1440"/>
      <c r="B437" s="1440"/>
      <c r="C437" s="1489"/>
      <c r="D437" s="1489"/>
      <c r="E437" s="713" t="s">
        <v>302</v>
      </c>
      <c r="F437" s="164"/>
      <c r="G437" s="721"/>
      <c r="H437" s="721">
        <f t="shared" si="74"/>
        <v>0</v>
      </c>
      <c r="I437" s="78"/>
      <c r="J437" s="78"/>
      <c r="K437" s="78"/>
      <c r="L437" s="78"/>
    </row>
    <row r="438" spans="1:12" ht="14.25" customHeight="1" x14ac:dyDescent="0.2">
      <c r="A438" s="1440"/>
      <c r="B438" s="1440"/>
      <c r="C438" s="1489"/>
      <c r="D438" s="1489"/>
      <c r="E438" s="713" t="s">
        <v>303</v>
      </c>
      <c r="F438" s="164"/>
      <c r="G438" s="721"/>
      <c r="H438" s="721">
        <f t="shared" si="74"/>
        <v>0</v>
      </c>
      <c r="I438" s="78"/>
      <c r="J438" s="78"/>
      <c r="K438" s="78"/>
      <c r="L438" s="78"/>
    </row>
    <row r="439" spans="1:12" ht="14.25" customHeight="1" x14ac:dyDescent="0.2">
      <c r="A439" s="1440"/>
      <c r="B439" s="1440"/>
      <c r="C439" s="1489"/>
      <c r="D439" s="1489"/>
      <c r="E439" s="713" t="s">
        <v>304</v>
      </c>
      <c r="F439" s="164"/>
      <c r="G439" s="721"/>
      <c r="H439" s="721">
        <f t="shared" si="74"/>
        <v>0</v>
      </c>
      <c r="I439" s="78"/>
      <c r="J439" s="78"/>
      <c r="K439" s="78"/>
      <c r="L439" s="78"/>
    </row>
    <row r="440" spans="1:12" ht="14.25" customHeight="1" x14ac:dyDescent="0.2">
      <c r="A440" s="1440"/>
      <c r="B440" s="1440"/>
      <c r="C440" s="1489"/>
      <c r="D440" s="1489"/>
      <c r="E440" s="737" t="s">
        <v>191</v>
      </c>
      <c r="F440" s="164"/>
      <c r="G440" s="721"/>
      <c r="H440" s="721"/>
      <c r="I440" s="78"/>
      <c r="J440" s="78"/>
      <c r="K440" s="78"/>
      <c r="L440" s="78"/>
    </row>
    <row r="441" spans="1:12" ht="14.25" customHeight="1" x14ac:dyDescent="0.2">
      <c r="A441" s="1440"/>
      <c r="B441" s="1440"/>
      <c r="C441" s="1489"/>
      <c r="D441" s="1489"/>
      <c r="E441" s="713" t="s">
        <v>302</v>
      </c>
      <c r="F441" s="164">
        <f>F445+F449</f>
        <v>0</v>
      </c>
      <c r="G441" s="164">
        <f>G445+G449</f>
        <v>0</v>
      </c>
      <c r="H441" s="721">
        <f t="shared" si="74"/>
        <v>0</v>
      </c>
      <c r="I441" s="78"/>
      <c r="J441" s="78"/>
      <c r="K441" s="78"/>
      <c r="L441" s="78"/>
    </row>
    <row r="442" spans="1:12" ht="14.25" customHeight="1" x14ac:dyDescent="0.2">
      <c r="A442" s="1440"/>
      <c r="B442" s="1440"/>
      <c r="C442" s="1489"/>
      <c r="D442" s="1489"/>
      <c r="E442" s="713" t="s">
        <v>303</v>
      </c>
      <c r="F442" s="164">
        <f t="shared" ref="F442:G443" si="75">F446+F450</f>
        <v>0</v>
      </c>
      <c r="G442" s="164">
        <f t="shared" si="75"/>
        <v>0</v>
      </c>
      <c r="H442" s="721">
        <f t="shared" si="74"/>
        <v>0</v>
      </c>
      <c r="I442" s="78"/>
      <c r="J442" s="78"/>
      <c r="K442" s="78"/>
      <c r="L442" s="78"/>
    </row>
    <row r="443" spans="1:12" ht="14.25" customHeight="1" x14ac:dyDescent="0.2">
      <c r="A443" s="1440"/>
      <c r="B443" s="1440"/>
      <c r="C443" s="1489"/>
      <c r="D443" s="1489"/>
      <c r="E443" s="713" t="s">
        <v>304</v>
      </c>
      <c r="F443" s="164">
        <f>F447+F451</f>
        <v>0</v>
      </c>
      <c r="G443" s="164">
        <f t="shared" si="75"/>
        <v>0</v>
      </c>
      <c r="H443" s="721">
        <f t="shared" si="74"/>
        <v>0</v>
      </c>
      <c r="I443" s="78"/>
      <c r="J443" s="78"/>
      <c r="K443" s="78"/>
      <c r="L443" s="78"/>
    </row>
    <row r="444" spans="1:12" ht="14.25" customHeight="1" x14ac:dyDescent="0.2">
      <c r="A444" s="1440"/>
      <c r="B444" s="1440"/>
      <c r="C444" s="1489"/>
      <c r="D444" s="1489" t="s">
        <v>54</v>
      </c>
      <c r="E444" s="117" t="s">
        <v>65</v>
      </c>
      <c r="F444" s="164"/>
      <c r="G444" s="721"/>
      <c r="H444" s="721">
        <f t="shared" si="74"/>
        <v>0</v>
      </c>
      <c r="I444" s="78"/>
      <c r="J444" s="78"/>
      <c r="K444" s="78"/>
      <c r="L444" s="78"/>
    </row>
    <row r="445" spans="1:12" ht="14.25" customHeight="1" x14ac:dyDescent="0.2">
      <c r="A445" s="1440"/>
      <c r="B445" s="1440"/>
      <c r="C445" s="1489"/>
      <c r="D445" s="1489"/>
      <c r="E445" s="713" t="s">
        <v>302</v>
      </c>
      <c r="F445" s="164"/>
      <c r="G445" s="721"/>
      <c r="H445" s="721">
        <f t="shared" si="74"/>
        <v>0</v>
      </c>
      <c r="I445" s="78"/>
      <c r="J445" s="78"/>
      <c r="K445" s="78"/>
      <c r="L445" s="78"/>
    </row>
    <row r="446" spans="1:12" ht="14.25" customHeight="1" x14ac:dyDescent="0.2">
      <c r="A446" s="1440"/>
      <c r="B446" s="1440"/>
      <c r="C446" s="1489"/>
      <c r="D446" s="1489"/>
      <c r="E446" s="713" t="s">
        <v>303</v>
      </c>
      <c r="F446" s="164"/>
      <c r="G446" s="721"/>
      <c r="H446" s="721">
        <f t="shared" si="74"/>
        <v>0</v>
      </c>
      <c r="I446" s="78"/>
      <c r="J446" s="78"/>
      <c r="K446" s="78"/>
      <c r="L446" s="78"/>
    </row>
    <row r="447" spans="1:12" ht="14.25" customHeight="1" x14ac:dyDescent="0.2">
      <c r="A447" s="1440"/>
      <c r="B447" s="1440"/>
      <c r="C447" s="1489"/>
      <c r="D447" s="1489"/>
      <c r="E447" s="713" t="s">
        <v>304</v>
      </c>
      <c r="F447" s="164"/>
      <c r="G447" s="721"/>
      <c r="H447" s="721">
        <f t="shared" si="74"/>
        <v>0</v>
      </c>
      <c r="I447" s="78"/>
      <c r="J447" s="78"/>
      <c r="K447" s="78"/>
      <c r="L447" s="78"/>
    </row>
    <row r="448" spans="1:12" ht="14.25" customHeight="1" x14ac:dyDescent="0.2">
      <c r="A448" s="1440"/>
      <c r="B448" s="1440"/>
      <c r="C448" s="1489"/>
      <c r="D448" s="1489" t="s">
        <v>55</v>
      </c>
      <c r="E448" s="325" t="s">
        <v>66</v>
      </c>
      <c r="F448" s="164"/>
      <c r="G448" s="721"/>
      <c r="H448" s="721">
        <f t="shared" si="74"/>
        <v>0</v>
      </c>
      <c r="I448" s="78"/>
      <c r="J448" s="78"/>
      <c r="K448" s="78"/>
      <c r="L448" s="78"/>
    </row>
    <row r="449" spans="1:12" ht="14.25" customHeight="1" x14ac:dyDescent="0.2">
      <c r="A449" s="1440"/>
      <c r="B449" s="1440"/>
      <c r="C449" s="1489"/>
      <c r="D449" s="1489"/>
      <c r="E449" s="713" t="s">
        <v>302</v>
      </c>
      <c r="F449" s="164"/>
      <c r="G449" s="721"/>
      <c r="H449" s="721">
        <f t="shared" si="74"/>
        <v>0</v>
      </c>
      <c r="I449" s="78"/>
      <c r="J449" s="78"/>
      <c r="K449" s="78"/>
      <c r="L449" s="78"/>
    </row>
    <row r="450" spans="1:12" ht="14.25" customHeight="1" x14ac:dyDescent="0.2">
      <c r="A450" s="1440"/>
      <c r="B450" s="1440"/>
      <c r="C450" s="1489"/>
      <c r="D450" s="1489"/>
      <c r="E450" s="713" t="s">
        <v>303</v>
      </c>
      <c r="F450" s="164"/>
      <c r="G450" s="721"/>
      <c r="H450" s="721">
        <f t="shared" si="74"/>
        <v>0</v>
      </c>
      <c r="I450" s="78"/>
      <c r="J450" s="78"/>
      <c r="K450" s="78"/>
      <c r="L450" s="78"/>
    </row>
    <row r="451" spans="1:12" ht="14.25" customHeight="1" x14ac:dyDescent="0.2">
      <c r="A451" s="1440"/>
      <c r="B451" s="1440"/>
      <c r="C451" s="1489"/>
      <c r="D451" s="1489"/>
      <c r="E451" s="713" t="s">
        <v>304</v>
      </c>
      <c r="F451" s="164"/>
      <c r="G451" s="721"/>
      <c r="H451" s="721">
        <f t="shared" si="74"/>
        <v>0</v>
      </c>
      <c r="I451" s="78"/>
      <c r="J451" s="78"/>
      <c r="K451" s="78"/>
      <c r="L451" s="78"/>
    </row>
    <row r="452" spans="1:12" ht="14.25" customHeight="1" x14ac:dyDescent="0.2">
      <c r="A452" s="1440"/>
      <c r="B452" s="1440"/>
      <c r="C452" s="1489"/>
      <c r="D452" s="1489"/>
      <c r="E452" s="737" t="s">
        <v>192</v>
      </c>
      <c r="F452" s="164"/>
      <c r="G452" s="721"/>
      <c r="H452" s="721"/>
      <c r="I452" s="78"/>
      <c r="J452" s="78"/>
      <c r="K452" s="78"/>
      <c r="L452" s="78"/>
    </row>
    <row r="453" spans="1:12" ht="14.25" customHeight="1" x14ac:dyDescent="0.2">
      <c r="A453" s="1440"/>
      <c r="B453" s="1440"/>
      <c r="C453" s="1489"/>
      <c r="D453" s="1489"/>
      <c r="E453" s="713" t="s">
        <v>302</v>
      </c>
      <c r="F453" s="164">
        <f>F457+F461</f>
        <v>0</v>
      </c>
      <c r="G453" s="164">
        <f>G457+G461</f>
        <v>0</v>
      </c>
      <c r="H453" s="721">
        <f t="shared" si="74"/>
        <v>0</v>
      </c>
      <c r="I453" s="78"/>
      <c r="J453" s="78"/>
      <c r="K453" s="78"/>
      <c r="L453" s="78"/>
    </row>
    <row r="454" spans="1:12" ht="14.25" customHeight="1" x14ac:dyDescent="0.2">
      <c r="A454" s="1440"/>
      <c r="B454" s="1440"/>
      <c r="C454" s="1489"/>
      <c r="D454" s="1489"/>
      <c r="E454" s="713" t="s">
        <v>303</v>
      </c>
      <c r="F454" s="164">
        <f t="shared" ref="F454:G455" si="76">F458+F462</f>
        <v>0</v>
      </c>
      <c r="G454" s="164">
        <f t="shared" si="76"/>
        <v>0</v>
      </c>
      <c r="H454" s="721">
        <f t="shared" si="74"/>
        <v>0</v>
      </c>
      <c r="I454" s="78"/>
      <c r="J454" s="78"/>
      <c r="K454" s="78"/>
      <c r="L454" s="78"/>
    </row>
    <row r="455" spans="1:12" ht="14.25" customHeight="1" x14ac:dyDescent="0.2">
      <c r="A455" s="1440"/>
      <c r="B455" s="1440"/>
      <c r="C455" s="1489"/>
      <c r="D455" s="1489"/>
      <c r="E455" s="713" t="s">
        <v>304</v>
      </c>
      <c r="F455" s="164">
        <f t="shared" si="76"/>
        <v>0</v>
      </c>
      <c r="G455" s="164">
        <f t="shared" si="76"/>
        <v>0</v>
      </c>
      <c r="H455" s="721">
        <f t="shared" si="74"/>
        <v>0</v>
      </c>
      <c r="I455" s="78"/>
      <c r="J455" s="78"/>
      <c r="K455" s="78"/>
      <c r="L455" s="78"/>
    </row>
    <row r="456" spans="1:12" ht="14.25" customHeight="1" x14ac:dyDescent="0.2">
      <c r="A456" s="1440"/>
      <c r="B456" s="1440"/>
      <c r="C456" s="1489"/>
      <c r="D456" s="1489" t="s">
        <v>54</v>
      </c>
      <c r="E456" s="117" t="s">
        <v>65</v>
      </c>
      <c r="F456" s="164"/>
      <c r="G456" s="721"/>
      <c r="H456" s="721">
        <f t="shared" si="74"/>
        <v>0</v>
      </c>
      <c r="I456" s="78"/>
      <c r="J456" s="78"/>
      <c r="K456" s="78"/>
      <c r="L456" s="78"/>
    </row>
    <row r="457" spans="1:12" ht="14.25" customHeight="1" x14ac:dyDescent="0.2">
      <c r="A457" s="1440"/>
      <c r="B457" s="1440"/>
      <c r="C457" s="1489"/>
      <c r="D457" s="1489"/>
      <c r="E457" s="713" t="s">
        <v>302</v>
      </c>
      <c r="F457" s="164"/>
      <c r="G457" s="721"/>
      <c r="H457" s="721">
        <f t="shared" si="74"/>
        <v>0</v>
      </c>
      <c r="I457" s="78"/>
      <c r="J457" s="78"/>
      <c r="K457" s="78"/>
      <c r="L457" s="78"/>
    </row>
    <row r="458" spans="1:12" ht="14.25" customHeight="1" x14ac:dyDescent="0.2">
      <c r="A458" s="1440"/>
      <c r="B458" s="1440"/>
      <c r="C458" s="1489"/>
      <c r="D458" s="1489"/>
      <c r="E458" s="713" t="s">
        <v>303</v>
      </c>
      <c r="F458" s="164"/>
      <c r="G458" s="721"/>
      <c r="H458" s="721">
        <f t="shared" si="74"/>
        <v>0</v>
      </c>
      <c r="I458" s="78"/>
      <c r="J458" s="78"/>
      <c r="K458" s="78"/>
      <c r="L458" s="78"/>
    </row>
    <row r="459" spans="1:12" ht="14.25" customHeight="1" x14ac:dyDescent="0.2">
      <c r="A459" s="1440"/>
      <c r="B459" s="1440"/>
      <c r="C459" s="1489"/>
      <c r="D459" s="1489"/>
      <c r="E459" s="713" t="s">
        <v>304</v>
      </c>
      <c r="F459" s="164"/>
      <c r="G459" s="721"/>
      <c r="H459" s="721">
        <f t="shared" si="74"/>
        <v>0</v>
      </c>
      <c r="I459" s="78"/>
      <c r="J459" s="78"/>
      <c r="K459" s="78"/>
      <c r="L459" s="78"/>
    </row>
    <row r="460" spans="1:12" ht="14.25" customHeight="1" x14ac:dyDescent="0.2">
      <c r="A460" s="1440"/>
      <c r="B460" s="1440"/>
      <c r="C460" s="1489"/>
      <c r="D460" s="1489" t="s">
        <v>55</v>
      </c>
      <c r="E460" s="325" t="s">
        <v>66</v>
      </c>
      <c r="F460" s="164"/>
      <c r="G460" s="721"/>
      <c r="H460" s="721">
        <f t="shared" si="74"/>
        <v>0</v>
      </c>
      <c r="I460" s="78"/>
      <c r="J460" s="78"/>
      <c r="K460" s="78"/>
      <c r="L460" s="78"/>
    </row>
    <row r="461" spans="1:12" ht="14.25" customHeight="1" x14ac:dyDescent="0.2">
      <c r="A461" s="1440"/>
      <c r="B461" s="1440"/>
      <c r="C461" s="1489"/>
      <c r="D461" s="1489"/>
      <c r="E461" s="713" t="s">
        <v>302</v>
      </c>
      <c r="F461" s="164"/>
      <c r="G461" s="721"/>
      <c r="H461" s="721">
        <f t="shared" si="74"/>
        <v>0</v>
      </c>
      <c r="I461" s="78"/>
      <c r="J461" s="78"/>
      <c r="K461" s="78"/>
      <c r="L461" s="78"/>
    </row>
    <row r="462" spans="1:12" ht="14.25" customHeight="1" x14ac:dyDescent="0.2">
      <c r="A462" s="1440"/>
      <c r="B462" s="1440"/>
      <c r="C462" s="1489"/>
      <c r="D462" s="1489"/>
      <c r="E462" s="713" t="s">
        <v>303</v>
      </c>
      <c r="F462" s="164"/>
      <c r="G462" s="721"/>
      <c r="H462" s="721">
        <f t="shared" si="74"/>
        <v>0</v>
      </c>
      <c r="I462" s="78"/>
      <c r="J462" s="78"/>
      <c r="K462" s="78"/>
      <c r="L462" s="78"/>
    </row>
    <row r="463" spans="1:12" ht="14.25" customHeight="1" x14ac:dyDescent="0.2">
      <c r="A463" s="1440"/>
      <c r="B463" s="1440"/>
      <c r="C463" s="1489"/>
      <c r="D463" s="1489"/>
      <c r="E463" s="713" t="s">
        <v>304</v>
      </c>
      <c r="F463" s="164"/>
      <c r="G463" s="721"/>
      <c r="H463" s="721">
        <f t="shared" si="74"/>
        <v>0</v>
      </c>
      <c r="I463" s="78"/>
      <c r="J463" s="78"/>
      <c r="K463" s="78"/>
      <c r="L463" s="78"/>
    </row>
    <row r="464" spans="1:12" s="27" customFormat="1" ht="15" customHeight="1" x14ac:dyDescent="0.2">
      <c r="A464" s="1503" t="s">
        <v>113</v>
      </c>
      <c r="B464" s="1503"/>
      <c r="C464" s="1503"/>
      <c r="D464" s="1503"/>
      <c r="E464" s="1503"/>
      <c r="F464" s="166"/>
      <c r="G464" s="166"/>
      <c r="H464" s="186"/>
      <c r="I464" s="80"/>
      <c r="J464" s="80"/>
      <c r="K464" s="80"/>
      <c r="L464" s="80"/>
    </row>
    <row r="465" spans="1:12" s="27" customFormat="1" ht="15" customHeight="1" x14ac:dyDescent="0.2">
      <c r="A465" s="1508"/>
      <c r="B465" s="1492"/>
      <c r="C465" s="1493"/>
      <c r="D465" s="1500"/>
      <c r="E465" s="507" t="s">
        <v>302</v>
      </c>
      <c r="F465" s="166">
        <f>F469+F473</f>
        <v>0</v>
      </c>
      <c r="G465" s="166">
        <f>G469+G473</f>
        <v>0</v>
      </c>
      <c r="H465" s="186">
        <f>SUM(F465:G465)</f>
        <v>0</v>
      </c>
      <c r="I465" s="80"/>
      <c r="J465" s="80"/>
      <c r="K465" s="80"/>
      <c r="L465" s="80"/>
    </row>
    <row r="466" spans="1:12" s="27" customFormat="1" ht="15" customHeight="1" x14ac:dyDescent="0.2">
      <c r="A466" s="1509"/>
      <c r="B466" s="1495"/>
      <c r="C466" s="1496"/>
      <c r="D466" s="1501"/>
      <c r="E466" s="507" t="s">
        <v>303</v>
      </c>
      <c r="F466" s="166">
        <f t="shared" ref="F466:G467" si="77">F470+F474</f>
        <v>80622</v>
      </c>
      <c r="G466" s="166">
        <f t="shared" si="77"/>
        <v>0</v>
      </c>
      <c r="H466" s="186">
        <f t="shared" ref="H466:H475" si="78">SUM(F466:G466)</f>
        <v>80622</v>
      </c>
      <c r="I466" s="80"/>
      <c r="J466" s="80"/>
      <c r="K466" s="80"/>
      <c r="L466" s="80"/>
    </row>
    <row r="467" spans="1:12" s="27" customFormat="1" ht="15" customHeight="1" x14ac:dyDescent="0.2">
      <c r="A467" s="1509"/>
      <c r="B467" s="1495"/>
      <c r="C467" s="1496"/>
      <c r="D467" s="1502"/>
      <c r="E467" s="507" t="s">
        <v>304</v>
      </c>
      <c r="F467" s="166">
        <f t="shared" si="77"/>
        <v>80622</v>
      </c>
      <c r="G467" s="166">
        <f t="shared" si="77"/>
        <v>0</v>
      </c>
      <c r="H467" s="186">
        <f t="shared" si="78"/>
        <v>80622</v>
      </c>
      <c r="I467" s="80"/>
      <c r="J467" s="80"/>
      <c r="K467" s="80"/>
      <c r="L467" s="80"/>
    </row>
    <row r="468" spans="1:12" s="27" customFormat="1" ht="15" customHeight="1" x14ac:dyDescent="0.2">
      <c r="A468" s="1509"/>
      <c r="B468" s="1495"/>
      <c r="C468" s="1496"/>
      <c r="D468" s="1505" t="s">
        <v>54</v>
      </c>
      <c r="E468" s="708" t="s">
        <v>65</v>
      </c>
      <c r="F468" s="719"/>
      <c r="G468" s="719"/>
      <c r="H468" s="186"/>
      <c r="I468" s="80"/>
      <c r="J468" s="80"/>
      <c r="K468" s="80"/>
      <c r="L468" s="80"/>
    </row>
    <row r="469" spans="1:12" s="27" customFormat="1" ht="15" customHeight="1" x14ac:dyDescent="0.2">
      <c r="A469" s="1509"/>
      <c r="B469" s="1495"/>
      <c r="C469" s="1496"/>
      <c r="D469" s="1506"/>
      <c r="E469" s="507" t="s">
        <v>302</v>
      </c>
      <c r="F469" s="719">
        <f>F481</f>
        <v>0</v>
      </c>
      <c r="G469" s="719">
        <f>G481</f>
        <v>0</v>
      </c>
      <c r="H469" s="186">
        <f t="shared" si="78"/>
        <v>0</v>
      </c>
      <c r="I469" s="80"/>
      <c r="J469" s="80"/>
      <c r="K469" s="80"/>
      <c r="L469" s="80"/>
    </row>
    <row r="470" spans="1:12" s="27" customFormat="1" ht="15" customHeight="1" x14ac:dyDescent="0.2">
      <c r="A470" s="1509"/>
      <c r="B470" s="1495"/>
      <c r="C470" s="1496"/>
      <c r="D470" s="1506"/>
      <c r="E470" s="507" t="s">
        <v>303</v>
      </c>
      <c r="F470" s="719">
        <f t="shared" ref="F470:G471" si="79">F482</f>
        <v>80622</v>
      </c>
      <c r="G470" s="719">
        <f t="shared" si="79"/>
        <v>0</v>
      </c>
      <c r="H470" s="186">
        <f t="shared" si="78"/>
        <v>80622</v>
      </c>
      <c r="I470" s="80"/>
      <c r="J470" s="80"/>
      <c r="K470" s="80"/>
      <c r="L470" s="80"/>
    </row>
    <row r="471" spans="1:12" s="27" customFormat="1" ht="15" customHeight="1" x14ac:dyDescent="0.2">
      <c r="A471" s="1509"/>
      <c r="B471" s="1495"/>
      <c r="C471" s="1496"/>
      <c r="D471" s="1507"/>
      <c r="E471" s="507" t="s">
        <v>304</v>
      </c>
      <c r="F471" s="719">
        <f t="shared" si="79"/>
        <v>80622</v>
      </c>
      <c r="G471" s="719">
        <f t="shared" si="79"/>
        <v>0</v>
      </c>
      <c r="H471" s="186">
        <f t="shared" si="78"/>
        <v>80622</v>
      </c>
      <c r="I471" s="80"/>
      <c r="J471" s="80"/>
      <c r="K471" s="80"/>
      <c r="L471" s="80"/>
    </row>
    <row r="472" spans="1:12" s="27" customFormat="1" ht="15" customHeight="1" x14ac:dyDescent="0.2">
      <c r="A472" s="1509"/>
      <c r="B472" s="1495"/>
      <c r="C472" s="1496"/>
      <c r="D472" s="1505" t="s">
        <v>55</v>
      </c>
      <c r="E472" s="710" t="s">
        <v>66</v>
      </c>
      <c r="F472" s="719"/>
      <c r="G472" s="719"/>
      <c r="H472" s="186"/>
      <c r="I472" s="80"/>
      <c r="J472" s="80"/>
      <c r="K472" s="80"/>
      <c r="L472" s="80"/>
    </row>
    <row r="473" spans="1:12" s="27" customFormat="1" ht="15" customHeight="1" x14ac:dyDescent="0.2">
      <c r="A473" s="1509"/>
      <c r="B473" s="1495"/>
      <c r="C473" s="1496"/>
      <c r="D473" s="1506"/>
      <c r="E473" s="507" t="s">
        <v>302</v>
      </c>
      <c r="F473" s="719">
        <f>F485</f>
        <v>0</v>
      </c>
      <c r="G473" s="719">
        <f>G485</f>
        <v>0</v>
      </c>
      <c r="H473" s="186">
        <f t="shared" si="78"/>
        <v>0</v>
      </c>
      <c r="I473" s="80"/>
      <c r="J473" s="80"/>
      <c r="K473" s="80"/>
      <c r="L473" s="80"/>
    </row>
    <row r="474" spans="1:12" s="27" customFormat="1" ht="15" customHeight="1" x14ac:dyDescent="0.2">
      <c r="A474" s="1509"/>
      <c r="B474" s="1495"/>
      <c r="C474" s="1496"/>
      <c r="D474" s="1506"/>
      <c r="E474" s="507" t="s">
        <v>303</v>
      </c>
      <c r="F474" s="719">
        <f t="shared" ref="F474:G475" si="80">F486</f>
        <v>0</v>
      </c>
      <c r="G474" s="719">
        <f t="shared" si="80"/>
        <v>0</v>
      </c>
      <c r="H474" s="186">
        <f t="shared" si="78"/>
        <v>0</v>
      </c>
      <c r="I474" s="80"/>
      <c r="J474" s="80"/>
      <c r="K474" s="80"/>
      <c r="L474" s="80"/>
    </row>
    <row r="475" spans="1:12" s="27" customFormat="1" ht="15" customHeight="1" x14ac:dyDescent="0.2">
      <c r="A475" s="1510"/>
      <c r="B475" s="1498"/>
      <c r="C475" s="1499"/>
      <c r="D475" s="1507"/>
      <c r="E475" s="507" t="s">
        <v>304</v>
      </c>
      <c r="F475" s="719">
        <f t="shared" si="80"/>
        <v>0</v>
      </c>
      <c r="G475" s="719">
        <f t="shared" si="80"/>
        <v>0</v>
      </c>
      <c r="H475" s="186">
        <f t="shared" si="78"/>
        <v>0</v>
      </c>
      <c r="I475" s="80"/>
      <c r="J475" s="80"/>
      <c r="K475" s="80"/>
      <c r="L475" s="80"/>
    </row>
    <row r="476" spans="1:12" s="27" customFormat="1" ht="15" customHeight="1" x14ac:dyDescent="0.2">
      <c r="A476" s="1557" t="s">
        <v>2</v>
      </c>
      <c r="B476" s="1558"/>
      <c r="C476" s="1555" t="s">
        <v>137</v>
      </c>
      <c r="D476" s="1555"/>
      <c r="E476" s="704" t="s">
        <v>221</v>
      </c>
      <c r="F476" s="720"/>
      <c r="G476" s="720"/>
      <c r="H476" s="720"/>
      <c r="I476" s="80"/>
      <c r="J476" s="80"/>
      <c r="K476" s="80"/>
      <c r="L476" s="80"/>
    </row>
    <row r="477" spans="1:12" s="27" customFormat="1" ht="15" customHeight="1" x14ac:dyDescent="0.2">
      <c r="A477" s="1557"/>
      <c r="B477" s="1558"/>
      <c r="C477" s="1555"/>
      <c r="D477" s="1555"/>
      <c r="E477" s="714" t="s">
        <v>302</v>
      </c>
      <c r="F477" s="720">
        <f>F481+F485</f>
        <v>0</v>
      </c>
      <c r="G477" s="720">
        <f>G481+G485</f>
        <v>0</v>
      </c>
      <c r="H477" s="720">
        <f>F477+G477</f>
        <v>0</v>
      </c>
      <c r="I477" s="80"/>
      <c r="J477" s="80"/>
      <c r="K477" s="80"/>
      <c r="L477" s="80"/>
    </row>
    <row r="478" spans="1:12" s="27" customFormat="1" ht="15" customHeight="1" x14ac:dyDescent="0.2">
      <c r="A478" s="1557"/>
      <c r="B478" s="1558"/>
      <c r="C478" s="1555"/>
      <c r="D478" s="1555"/>
      <c r="E478" s="714" t="s">
        <v>303</v>
      </c>
      <c r="F478" s="720">
        <f>F482+F486</f>
        <v>80622</v>
      </c>
      <c r="G478" s="720">
        <f>G482+G486</f>
        <v>0</v>
      </c>
      <c r="H478" s="720">
        <f t="shared" ref="H478:H479" si="81">F478+G478</f>
        <v>80622</v>
      </c>
      <c r="I478" s="80"/>
      <c r="J478" s="80"/>
      <c r="K478" s="80"/>
      <c r="L478" s="80"/>
    </row>
    <row r="479" spans="1:12" s="27" customFormat="1" ht="15" customHeight="1" x14ac:dyDescent="0.2">
      <c r="A479" s="1557"/>
      <c r="B479" s="1558"/>
      <c r="C479" s="1555"/>
      <c r="D479" s="1556"/>
      <c r="E479" s="714" t="s">
        <v>304</v>
      </c>
      <c r="F479" s="720">
        <f t="shared" ref="F479:G479" si="82">F483+F487</f>
        <v>80622</v>
      </c>
      <c r="G479" s="720">
        <f t="shared" si="82"/>
        <v>0</v>
      </c>
      <c r="H479" s="720">
        <f t="shared" si="81"/>
        <v>80622</v>
      </c>
      <c r="I479" s="80"/>
      <c r="J479" s="80"/>
      <c r="K479" s="80"/>
      <c r="L479" s="80"/>
    </row>
    <row r="480" spans="1:12" ht="15" customHeight="1" x14ac:dyDescent="0.2">
      <c r="A480" s="1557"/>
      <c r="B480" s="1558"/>
      <c r="C480" s="1555"/>
      <c r="D480" s="1559" t="s">
        <v>54</v>
      </c>
      <c r="E480" s="715" t="s">
        <v>65</v>
      </c>
      <c r="F480" s="720"/>
      <c r="G480" s="720"/>
      <c r="H480" s="720"/>
      <c r="I480" s="78"/>
      <c r="J480" s="78"/>
      <c r="K480" s="78"/>
      <c r="L480" s="78"/>
    </row>
    <row r="481" spans="1:12" ht="15" customHeight="1" x14ac:dyDescent="0.2">
      <c r="A481" s="1557"/>
      <c r="B481" s="1558"/>
      <c r="C481" s="1555"/>
      <c r="D481" s="1555"/>
      <c r="E481" s="714" t="s">
        <v>302</v>
      </c>
      <c r="F481" s="720">
        <f>F493+F505+F517</f>
        <v>0</v>
      </c>
      <c r="G481" s="720">
        <f>G493+G505+G517</f>
        <v>0</v>
      </c>
      <c r="H481" s="720">
        <f>F481+G481</f>
        <v>0</v>
      </c>
      <c r="I481" s="78"/>
      <c r="J481" s="78"/>
      <c r="K481" s="78"/>
      <c r="L481" s="78"/>
    </row>
    <row r="482" spans="1:12" ht="15" customHeight="1" x14ac:dyDescent="0.2">
      <c r="A482" s="1557"/>
      <c r="B482" s="1558"/>
      <c r="C482" s="1555"/>
      <c r="D482" s="1555"/>
      <c r="E482" s="714" t="s">
        <v>303</v>
      </c>
      <c r="F482" s="720">
        <f t="shared" ref="F482:G483" si="83">F494+F506+F518</f>
        <v>80622</v>
      </c>
      <c r="G482" s="720">
        <f t="shared" si="83"/>
        <v>0</v>
      </c>
      <c r="H482" s="720">
        <f t="shared" ref="H482:H523" si="84">F482+G482</f>
        <v>80622</v>
      </c>
      <c r="I482" s="78"/>
      <c r="J482" s="78"/>
      <c r="K482" s="78"/>
      <c r="L482" s="78"/>
    </row>
    <row r="483" spans="1:12" ht="15" customHeight="1" x14ac:dyDescent="0.2">
      <c r="A483" s="1557"/>
      <c r="B483" s="1558"/>
      <c r="C483" s="1555"/>
      <c r="D483" s="1556"/>
      <c r="E483" s="714" t="s">
        <v>304</v>
      </c>
      <c r="F483" s="720">
        <f t="shared" si="83"/>
        <v>80622</v>
      </c>
      <c r="G483" s="720">
        <f t="shared" si="83"/>
        <v>0</v>
      </c>
      <c r="H483" s="720">
        <f t="shared" si="84"/>
        <v>80622</v>
      </c>
      <c r="I483" s="78"/>
      <c r="J483" s="78"/>
      <c r="K483" s="78"/>
      <c r="L483" s="78"/>
    </row>
    <row r="484" spans="1:12" ht="15" customHeight="1" x14ac:dyDescent="0.2">
      <c r="A484" s="1557"/>
      <c r="B484" s="1558"/>
      <c r="C484" s="1555"/>
      <c r="D484" s="1559" t="s">
        <v>55</v>
      </c>
      <c r="E484" s="716" t="s">
        <v>66</v>
      </c>
      <c r="F484" s="720"/>
      <c r="G484" s="720"/>
      <c r="H484" s="720"/>
      <c r="I484" s="78"/>
      <c r="J484" s="78"/>
      <c r="K484" s="78"/>
      <c r="L484" s="78"/>
    </row>
    <row r="485" spans="1:12" ht="15" customHeight="1" x14ac:dyDescent="0.2">
      <c r="A485" s="1557"/>
      <c r="B485" s="1558"/>
      <c r="C485" s="1555"/>
      <c r="D485" s="1555"/>
      <c r="E485" s="714" t="s">
        <v>302</v>
      </c>
      <c r="F485" s="720">
        <f>F497+F509+F517</f>
        <v>0</v>
      </c>
      <c r="G485" s="720">
        <f>G497+G509+G517</f>
        <v>0</v>
      </c>
      <c r="H485" s="720">
        <f t="shared" si="84"/>
        <v>0</v>
      </c>
      <c r="I485" s="78"/>
      <c r="J485" s="78"/>
      <c r="K485" s="78"/>
      <c r="L485" s="78"/>
    </row>
    <row r="486" spans="1:12" ht="15" customHeight="1" x14ac:dyDescent="0.2">
      <c r="A486" s="1557"/>
      <c r="B486" s="1558"/>
      <c r="C486" s="1555"/>
      <c r="D486" s="1555"/>
      <c r="E486" s="714" t="s">
        <v>303</v>
      </c>
      <c r="F486" s="720">
        <f>F498+F510+F518</f>
        <v>0</v>
      </c>
      <c r="G486" s="720">
        <f>G498+G510+G518</f>
        <v>0</v>
      </c>
      <c r="H486" s="720">
        <f>F486+G486</f>
        <v>0</v>
      </c>
      <c r="I486" s="78"/>
      <c r="J486" s="78"/>
      <c r="K486" s="78"/>
      <c r="L486" s="78"/>
    </row>
    <row r="487" spans="1:12" ht="15" customHeight="1" x14ac:dyDescent="0.2">
      <c r="A487" s="1557"/>
      <c r="B487" s="1558"/>
      <c r="C487" s="1555"/>
      <c r="D487" s="1556"/>
      <c r="E487" s="714" t="s">
        <v>304</v>
      </c>
      <c r="F487" s="720">
        <f t="shared" ref="F487:G487" si="85">F499+F511+F519</f>
        <v>0</v>
      </c>
      <c r="G487" s="720">
        <f t="shared" si="85"/>
        <v>0</v>
      </c>
      <c r="H487" s="720">
        <f t="shared" si="84"/>
        <v>0</v>
      </c>
      <c r="I487" s="78"/>
      <c r="J487" s="78"/>
      <c r="K487" s="78"/>
      <c r="L487" s="78"/>
    </row>
    <row r="488" spans="1:12" ht="15" customHeight="1" x14ac:dyDescent="0.2">
      <c r="A488" s="1440"/>
      <c r="B488" s="1440"/>
      <c r="C488" s="1440"/>
      <c r="D488" s="1489"/>
      <c r="E488" s="174" t="s">
        <v>211</v>
      </c>
      <c r="F488" s="721"/>
      <c r="G488" s="721"/>
      <c r="H488" s="721"/>
      <c r="I488" s="78"/>
      <c r="J488" s="78"/>
      <c r="K488" s="78"/>
      <c r="L488" s="78"/>
    </row>
    <row r="489" spans="1:12" ht="15" customHeight="1" x14ac:dyDescent="0.2">
      <c r="A489" s="1440"/>
      <c r="B489" s="1440"/>
      <c r="C489" s="1440"/>
      <c r="D489" s="1489"/>
      <c r="E489" s="713" t="s">
        <v>302</v>
      </c>
      <c r="F489" s="721">
        <f>F493+F497</f>
        <v>0</v>
      </c>
      <c r="G489" s="721">
        <f>G493+G497</f>
        <v>0</v>
      </c>
      <c r="H489" s="721">
        <f t="shared" si="84"/>
        <v>0</v>
      </c>
      <c r="I489" s="78"/>
      <c r="J489" s="78"/>
      <c r="K489" s="78"/>
      <c r="L489" s="78"/>
    </row>
    <row r="490" spans="1:12" ht="15" customHeight="1" x14ac:dyDescent="0.2">
      <c r="A490" s="1440"/>
      <c r="B490" s="1440"/>
      <c r="C490" s="1440"/>
      <c r="D490" s="1489"/>
      <c r="E490" s="713" t="s">
        <v>303</v>
      </c>
      <c r="F490" s="721">
        <f t="shared" ref="F490:G491" si="86">F494+F498</f>
        <v>0</v>
      </c>
      <c r="G490" s="721">
        <f t="shared" si="86"/>
        <v>0</v>
      </c>
      <c r="H490" s="721">
        <f t="shared" si="84"/>
        <v>0</v>
      </c>
      <c r="I490" s="78"/>
      <c r="J490" s="78"/>
      <c r="K490" s="78"/>
      <c r="L490" s="78"/>
    </row>
    <row r="491" spans="1:12" ht="15" customHeight="1" x14ac:dyDescent="0.2">
      <c r="A491" s="1440"/>
      <c r="B491" s="1440"/>
      <c r="C491" s="1440"/>
      <c r="D491" s="1489"/>
      <c r="E491" s="713" t="s">
        <v>304</v>
      </c>
      <c r="F491" s="721">
        <f t="shared" si="86"/>
        <v>0</v>
      </c>
      <c r="G491" s="721">
        <f t="shared" si="86"/>
        <v>0</v>
      </c>
      <c r="H491" s="721">
        <f t="shared" si="84"/>
        <v>0</v>
      </c>
      <c r="I491" s="78"/>
      <c r="J491" s="78"/>
      <c r="K491" s="78"/>
      <c r="L491" s="78"/>
    </row>
    <row r="492" spans="1:12" ht="15" customHeight="1" x14ac:dyDescent="0.2">
      <c r="A492" s="1440"/>
      <c r="B492" s="1440"/>
      <c r="C492" s="1440"/>
      <c r="D492" s="1489" t="s">
        <v>54</v>
      </c>
      <c r="E492" s="171" t="s">
        <v>65</v>
      </c>
      <c r="F492" s="721"/>
      <c r="G492" s="721"/>
      <c r="H492" s="721">
        <f t="shared" si="84"/>
        <v>0</v>
      </c>
      <c r="I492" s="78"/>
      <c r="J492" s="78"/>
      <c r="K492" s="78"/>
      <c r="L492" s="78"/>
    </row>
    <row r="493" spans="1:12" ht="15" customHeight="1" x14ac:dyDescent="0.2">
      <c r="A493" s="1440"/>
      <c r="B493" s="1440"/>
      <c r="C493" s="1440"/>
      <c r="D493" s="1489"/>
      <c r="E493" s="713" t="s">
        <v>302</v>
      </c>
      <c r="F493" s="721"/>
      <c r="G493" s="721"/>
      <c r="H493" s="721">
        <f t="shared" si="84"/>
        <v>0</v>
      </c>
      <c r="I493" s="78"/>
      <c r="J493" s="78"/>
      <c r="K493" s="78"/>
      <c r="L493" s="78"/>
    </row>
    <row r="494" spans="1:12" ht="15" customHeight="1" x14ac:dyDescent="0.2">
      <c r="A494" s="1440"/>
      <c r="B494" s="1440"/>
      <c r="C494" s="1440"/>
      <c r="D494" s="1489"/>
      <c r="E494" s="713" t="s">
        <v>303</v>
      </c>
      <c r="F494" s="721"/>
      <c r="G494" s="721"/>
      <c r="H494" s="721">
        <f t="shared" si="84"/>
        <v>0</v>
      </c>
      <c r="I494" s="78"/>
      <c r="J494" s="78"/>
      <c r="K494" s="78"/>
      <c r="L494" s="78"/>
    </row>
    <row r="495" spans="1:12" ht="15" customHeight="1" x14ac:dyDescent="0.2">
      <c r="A495" s="1440"/>
      <c r="B495" s="1440"/>
      <c r="C495" s="1440"/>
      <c r="D495" s="1489"/>
      <c r="E495" s="713" t="s">
        <v>304</v>
      </c>
      <c r="F495" s="721"/>
      <c r="G495" s="721"/>
      <c r="H495" s="721">
        <f t="shared" si="84"/>
        <v>0</v>
      </c>
      <c r="I495" s="78"/>
      <c r="J495" s="78"/>
      <c r="K495" s="78"/>
      <c r="L495" s="78"/>
    </row>
    <row r="496" spans="1:12" ht="15" customHeight="1" x14ac:dyDescent="0.2">
      <c r="A496" s="1440"/>
      <c r="B496" s="1440"/>
      <c r="C496" s="1440"/>
      <c r="D496" s="1489" t="s">
        <v>55</v>
      </c>
      <c r="E496" s="170" t="s">
        <v>66</v>
      </c>
      <c r="F496" s="721"/>
      <c r="G496" s="721"/>
      <c r="H496" s="721">
        <f t="shared" si="84"/>
        <v>0</v>
      </c>
      <c r="I496" s="78"/>
      <c r="J496" s="78"/>
      <c r="K496" s="78"/>
      <c r="L496" s="78"/>
    </row>
    <row r="497" spans="1:12" ht="15" customHeight="1" x14ac:dyDescent="0.2">
      <c r="A497" s="1440"/>
      <c r="B497" s="1440"/>
      <c r="C497" s="1440"/>
      <c r="D497" s="1489"/>
      <c r="E497" s="713" t="s">
        <v>302</v>
      </c>
      <c r="F497" s="721"/>
      <c r="G497" s="721"/>
      <c r="H497" s="721">
        <f t="shared" si="84"/>
        <v>0</v>
      </c>
      <c r="I497" s="78"/>
      <c r="J497" s="78"/>
      <c r="K497" s="78"/>
      <c r="L497" s="78"/>
    </row>
    <row r="498" spans="1:12" ht="15" customHeight="1" x14ac:dyDescent="0.2">
      <c r="A498" s="1440"/>
      <c r="B498" s="1440"/>
      <c r="C498" s="1440"/>
      <c r="D498" s="1489"/>
      <c r="E498" s="713" t="s">
        <v>303</v>
      </c>
      <c r="F498" s="721"/>
      <c r="G498" s="721"/>
      <c r="H498" s="721">
        <f t="shared" si="84"/>
        <v>0</v>
      </c>
      <c r="I498" s="78"/>
      <c r="J498" s="78"/>
      <c r="K498" s="78"/>
      <c r="L498" s="78"/>
    </row>
    <row r="499" spans="1:12" ht="15" customHeight="1" x14ac:dyDescent="0.2">
      <c r="A499" s="1440"/>
      <c r="B499" s="1440"/>
      <c r="C499" s="1440"/>
      <c r="D499" s="1489"/>
      <c r="E499" s="713" t="s">
        <v>304</v>
      </c>
      <c r="F499" s="721"/>
      <c r="G499" s="721"/>
      <c r="H499" s="721">
        <f t="shared" si="84"/>
        <v>0</v>
      </c>
      <c r="I499" s="78"/>
      <c r="J499" s="78"/>
      <c r="K499" s="78"/>
      <c r="L499" s="78"/>
    </row>
    <row r="500" spans="1:12" ht="15" customHeight="1" x14ac:dyDescent="0.2">
      <c r="A500" s="1440"/>
      <c r="B500" s="1440"/>
      <c r="C500" s="1440"/>
      <c r="D500" s="1489"/>
      <c r="E500" s="493" t="s">
        <v>191</v>
      </c>
      <c r="F500" s="721"/>
      <c r="G500" s="721"/>
      <c r="H500" s="721"/>
      <c r="I500" s="78"/>
      <c r="J500" s="78"/>
      <c r="K500" s="78"/>
      <c r="L500" s="78"/>
    </row>
    <row r="501" spans="1:12" ht="15" customHeight="1" x14ac:dyDescent="0.2">
      <c r="A501" s="1440"/>
      <c r="B501" s="1440"/>
      <c r="C501" s="1440"/>
      <c r="D501" s="1489"/>
      <c r="E501" s="713" t="s">
        <v>302</v>
      </c>
      <c r="F501" s="721">
        <f>F505+F509</f>
        <v>0</v>
      </c>
      <c r="G501" s="721">
        <f>G505+G509</f>
        <v>0</v>
      </c>
      <c r="H501" s="721">
        <f t="shared" si="84"/>
        <v>0</v>
      </c>
      <c r="I501" s="78"/>
      <c r="J501" s="78"/>
      <c r="K501" s="78"/>
      <c r="L501" s="78"/>
    </row>
    <row r="502" spans="1:12" ht="15" customHeight="1" x14ac:dyDescent="0.2">
      <c r="A502" s="1440"/>
      <c r="B502" s="1440"/>
      <c r="C502" s="1440"/>
      <c r="D502" s="1489"/>
      <c r="E502" s="713" t="s">
        <v>303</v>
      </c>
      <c r="F502" s="721">
        <f t="shared" ref="F502:G503" si="87">F506+F510</f>
        <v>80622</v>
      </c>
      <c r="G502" s="721">
        <f t="shared" si="87"/>
        <v>0</v>
      </c>
      <c r="H502" s="721">
        <f t="shared" si="84"/>
        <v>80622</v>
      </c>
      <c r="I502" s="78"/>
      <c r="J502" s="78"/>
      <c r="K502" s="78"/>
      <c r="L502" s="78"/>
    </row>
    <row r="503" spans="1:12" ht="15" customHeight="1" x14ac:dyDescent="0.2">
      <c r="A503" s="1440"/>
      <c r="B503" s="1440"/>
      <c r="C503" s="1440"/>
      <c r="D503" s="1489"/>
      <c r="E503" s="713" t="s">
        <v>304</v>
      </c>
      <c r="F503" s="721">
        <f t="shared" si="87"/>
        <v>80622</v>
      </c>
      <c r="G503" s="721">
        <f t="shared" si="87"/>
        <v>0</v>
      </c>
      <c r="H503" s="721">
        <f t="shared" si="84"/>
        <v>80622</v>
      </c>
      <c r="I503" s="78"/>
      <c r="J503" s="78"/>
      <c r="K503" s="78"/>
      <c r="L503" s="78"/>
    </row>
    <row r="504" spans="1:12" ht="15" customHeight="1" x14ac:dyDescent="0.2">
      <c r="A504" s="1440"/>
      <c r="B504" s="1440"/>
      <c r="C504" s="1440"/>
      <c r="D504" s="1489" t="s">
        <v>54</v>
      </c>
      <c r="E504" s="171" t="s">
        <v>65</v>
      </c>
      <c r="F504" s="721"/>
      <c r="G504" s="721"/>
      <c r="H504" s="721"/>
      <c r="I504" s="78"/>
      <c r="J504" s="78"/>
      <c r="K504" s="78"/>
      <c r="L504" s="78"/>
    </row>
    <row r="505" spans="1:12" ht="15" customHeight="1" x14ac:dyDescent="0.2">
      <c r="A505" s="1440"/>
      <c r="B505" s="1440"/>
      <c r="C505" s="1440"/>
      <c r="D505" s="1489"/>
      <c r="E505" s="713" t="s">
        <v>302</v>
      </c>
      <c r="F505" s="721">
        <v>0</v>
      </c>
      <c r="G505" s="721"/>
      <c r="H505" s="721">
        <f t="shared" si="84"/>
        <v>0</v>
      </c>
      <c r="I505" s="78"/>
      <c r="J505" s="78"/>
      <c r="K505" s="78"/>
      <c r="L505" s="78"/>
    </row>
    <row r="506" spans="1:12" ht="15" customHeight="1" x14ac:dyDescent="0.2">
      <c r="A506" s="1440"/>
      <c r="B506" s="1440"/>
      <c r="C506" s="1440"/>
      <c r="D506" s="1489"/>
      <c r="E506" s="713" t="s">
        <v>303</v>
      </c>
      <c r="F506" s="721">
        <v>80622</v>
      </c>
      <c r="G506" s="721"/>
      <c r="H506" s="721">
        <f t="shared" si="84"/>
        <v>80622</v>
      </c>
      <c r="I506" s="78"/>
      <c r="J506" s="78"/>
      <c r="K506" s="78"/>
      <c r="L506" s="78"/>
    </row>
    <row r="507" spans="1:12" ht="15" customHeight="1" x14ac:dyDescent="0.2">
      <c r="A507" s="1440"/>
      <c r="B507" s="1440"/>
      <c r="C507" s="1440"/>
      <c r="D507" s="1489"/>
      <c r="E507" s="713" t="s">
        <v>304</v>
      </c>
      <c r="F507" s="721">
        <v>80622</v>
      </c>
      <c r="G507" s="721"/>
      <c r="H507" s="721">
        <f t="shared" si="84"/>
        <v>80622</v>
      </c>
      <c r="I507" s="78"/>
      <c r="J507" s="78"/>
      <c r="K507" s="78"/>
      <c r="L507" s="78"/>
    </row>
    <row r="508" spans="1:12" ht="15" customHeight="1" x14ac:dyDescent="0.2">
      <c r="A508" s="1440"/>
      <c r="B508" s="1440"/>
      <c r="C508" s="1440"/>
      <c r="D508" s="1489" t="s">
        <v>55</v>
      </c>
      <c r="E508" s="178" t="s">
        <v>66</v>
      </c>
      <c r="F508" s="721"/>
      <c r="G508" s="721"/>
      <c r="H508" s="721">
        <f t="shared" si="84"/>
        <v>0</v>
      </c>
      <c r="I508" s="78"/>
      <c r="J508" s="78"/>
      <c r="K508" s="78"/>
      <c r="L508" s="78"/>
    </row>
    <row r="509" spans="1:12" ht="15" customHeight="1" x14ac:dyDescent="0.2">
      <c r="A509" s="1440"/>
      <c r="B509" s="1440"/>
      <c r="C509" s="1440"/>
      <c r="D509" s="1489"/>
      <c r="E509" s="713" t="s">
        <v>302</v>
      </c>
      <c r="F509" s="721"/>
      <c r="G509" s="721"/>
      <c r="H509" s="721">
        <f t="shared" si="84"/>
        <v>0</v>
      </c>
      <c r="I509" s="78"/>
      <c r="J509" s="78"/>
      <c r="K509" s="78"/>
      <c r="L509" s="78"/>
    </row>
    <row r="510" spans="1:12" ht="15" customHeight="1" x14ac:dyDescent="0.2">
      <c r="A510" s="1440"/>
      <c r="B510" s="1440"/>
      <c r="C510" s="1440"/>
      <c r="D510" s="1489"/>
      <c r="E510" s="713" t="s">
        <v>303</v>
      </c>
      <c r="F510" s="721"/>
      <c r="G510" s="721"/>
      <c r="H510" s="721">
        <f t="shared" si="84"/>
        <v>0</v>
      </c>
      <c r="I510" s="78"/>
      <c r="J510" s="78"/>
      <c r="K510" s="78"/>
      <c r="L510" s="78"/>
    </row>
    <row r="511" spans="1:12" ht="15" customHeight="1" x14ac:dyDescent="0.2">
      <c r="A511" s="1440"/>
      <c r="B511" s="1440"/>
      <c r="C511" s="1440"/>
      <c r="D511" s="1489"/>
      <c r="E511" s="713" t="s">
        <v>304</v>
      </c>
      <c r="F511" s="721"/>
      <c r="G511" s="721"/>
      <c r="H511" s="721">
        <f t="shared" si="84"/>
        <v>0</v>
      </c>
      <c r="I511" s="78"/>
      <c r="J511" s="78"/>
      <c r="K511" s="78"/>
      <c r="L511" s="78"/>
    </row>
    <row r="512" spans="1:12" ht="15" customHeight="1" x14ac:dyDescent="0.2">
      <c r="A512" s="1440"/>
      <c r="B512" s="1440"/>
      <c r="C512" s="1440"/>
      <c r="D512" s="1489"/>
      <c r="E512" s="493" t="s">
        <v>192</v>
      </c>
      <c r="F512" s="721"/>
      <c r="G512" s="721"/>
      <c r="H512" s="721"/>
      <c r="I512" s="78"/>
      <c r="J512" s="78"/>
      <c r="K512" s="78"/>
      <c r="L512" s="78"/>
    </row>
    <row r="513" spans="1:12" ht="15" customHeight="1" x14ac:dyDescent="0.2">
      <c r="A513" s="1440"/>
      <c r="B513" s="1440"/>
      <c r="C513" s="1440"/>
      <c r="D513" s="1489"/>
      <c r="E513" s="713" t="s">
        <v>302</v>
      </c>
      <c r="F513" s="721">
        <f>F517+F521</f>
        <v>0</v>
      </c>
      <c r="G513" s="721">
        <f>G517+G521</f>
        <v>0</v>
      </c>
      <c r="H513" s="721">
        <f t="shared" si="84"/>
        <v>0</v>
      </c>
      <c r="I513" s="78"/>
      <c r="J513" s="78"/>
      <c r="K513" s="78"/>
      <c r="L513" s="78"/>
    </row>
    <row r="514" spans="1:12" ht="15" customHeight="1" x14ac:dyDescent="0.2">
      <c r="A514" s="1440"/>
      <c r="B514" s="1440"/>
      <c r="C514" s="1440"/>
      <c r="D514" s="1489"/>
      <c r="E514" s="713" t="s">
        <v>303</v>
      </c>
      <c r="F514" s="721">
        <f t="shared" ref="F514:F515" si="88">F518+F522</f>
        <v>0</v>
      </c>
      <c r="G514" s="721">
        <f t="shared" ref="G514:G515" si="89">G518+G522</f>
        <v>0</v>
      </c>
      <c r="H514" s="721">
        <f t="shared" si="84"/>
        <v>0</v>
      </c>
      <c r="I514" s="78"/>
      <c r="J514" s="78"/>
      <c r="K514" s="78"/>
      <c r="L514" s="78"/>
    </row>
    <row r="515" spans="1:12" ht="15" customHeight="1" x14ac:dyDescent="0.2">
      <c r="A515" s="1440"/>
      <c r="B515" s="1440"/>
      <c r="C515" s="1440"/>
      <c r="D515" s="1489"/>
      <c r="E515" s="713" t="s">
        <v>304</v>
      </c>
      <c r="F515" s="721">
        <f t="shared" si="88"/>
        <v>0</v>
      </c>
      <c r="G515" s="721">
        <f t="shared" si="89"/>
        <v>0</v>
      </c>
      <c r="H515" s="721">
        <f t="shared" si="84"/>
        <v>0</v>
      </c>
      <c r="I515" s="78"/>
      <c r="J515" s="78"/>
      <c r="K515" s="78"/>
      <c r="L515" s="78"/>
    </row>
    <row r="516" spans="1:12" ht="15" customHeight="1" x14ac:dyDescent="0.2">
      <c r="A516" s="1440"/>
      <c r="B516" s="1440"/>
      <c r="C516" s="1440"/>
      <c r="D516" s="1489" t="s">
        <v>54</v>
      </c>
      <c r="E516" s="171" t="s">
        <v>65</v>
      </c>
      <c r="F516" s="721"/>
      <c r="G516" s="721"/>
      <c r="H516" s="721">
        <f t="shared" si="84"/>
        <v>0</v>
      </c>
      <c r="I516" s="78"/>
      <c r="J516" s="78"/>
      <c r="K516" s="78"/>
      <c r="L516" s="78"/>
    </row>
    <row r="517" spans="1:12" ht="15" customHeight="1" x14ac:dyDescent="0.2">
      <c r="A517" s="1440"/>
      <c r="B517" s="1440"/>
      <c r="C517" s="1440"/>
      <c r="D517" s="1489"/>
      <c r="E517" s="713" t="s">
        <v>302</v>
      </c>
      <c r="F517" s="721"/>
      <c r="G517" s="721"/>
      <c r="H517" s="721">
        <f t="shared" si="84"/>
        <v>0</v>
      </c>
      <c r="I517" s="78"/>
      <c r="J517" s="78"/>
      <c r="K517" s="78"/>
      <c r="L517" s="78"/>
    </row>
    <row r="518" spans="1:12" ht="15" customHeight="1" x14ac:dyDescent="0.2">
      <c r="A518" s="1440"/>
      <c r="B518" s="1440"/>
      <c r="C518" s="1440"/>
      <c r="D518" s="1489"/>
      <c r="E518" s="713" t="s">
        <v>303</v>
      </c>
      <c r="F518" s="721"/>
      <c r="G518" s="721"/>
      <c r="H518" s="721">
        <f t="shared" si="84"/>
        <v>0</v>
      </c>
      <c r="I518" s="78"/>
      <c r="J518" s="78"/>
      <c r="K518" s="78"/>
      <c r="L518" s="78"/>
    </row>
    <row r="519" spans="1:12" ht="15" customHeight="1" x14ac:dyDescent="0.2">
      <c r="A519" s="1440"/>
      <c r="B519" s="1440"/>
      <c r="C519" s="1440"/>
      <c r="D519" s="1489"/>
      <c r="E519" s="713" t="s">
        <v>304</v>
      </c>
      <c r="F519" s="721"/>
      <c r="G519" s="721"/>
      <c r="H519" s="721">
        <f t="shared" si="84"/>
        <v>0</v>
      </c>
      <c r="I519" s="78"/>
      <c r="J519" s="78"/>
      <c r="K519" s="78"/>
      <c r="L519" s="78"/>
    </row>
    <row r="520" spans="1:12" ht="15" customHeight="1" x14ac:dyDescent="0.2">
      <c r="A520" s="1440"/>
      <c r="B520" s="1440"/>
      <c r="C520" s="1440"/>
      <c r="D520" s="1489" t="s">
        <v>55</v>
      </c>
      <c r="E520" s="170" t="s">
        <v>66</v>
      </c>
      <c r="F520" s="721"/>
      <c r="G520" s="721"/>
      <c r="H520" s="721">
        <f t="shared" si="84"/>
        <v>0</v>
      </c>
      <c r="I520" s="78"/>
      <c r="J520" s="78"/>
      <c r="K520" s="78"/>
      <c r="L520" s="78"/>
    </row>
    <row r="521" spans="1:12" ht="15" customHeight="1" x14ac:dyDescent="0.2">
      <c r="A521" s="1440"/>
      <c r="B521" s="1440"/>
      <c r="C521" s="1440"/>
      <c r="D521" s="1489"/>
      <c r="E521" s="713" t="s">
        <v>302</v>
      </c>
      <c r="F521" s="721"/>
      <c r="G521" s="721"/>
      <c r="H521" s="721">
        <f t="shared" si="84"/>
        <v>0</v>
      </c>
      <c r="I521" s="78"/>
      <c r="J521" s="78"/>
      <c r="K521" s="78"/>
      <c r="L521" s="78"/>
    </row>
    <row r="522" spans="1:12" ht="15" customHeight="1" x14ac:dyDescent="0.2">
      <c r="A522" s="1440"/>
      <c r="B522" s="1440"/>
      <c r="C522" s="1440"/>
      <c r="D522" s="1489"/>
      <c r="E522" s="713" t="s">
        <v>303</v>
      </c>
      <c r="F522" s="721"/>
      <c r="G522" s="721"/>
      <c r="H522" s="721">
        <f t="shared" si="84"/>
        <v>0</v>
      </c>
      <c r="I522" s="78"/>
      <c r="J522" s="78"/>
      <c r="K522" s="78"/>
      <c r="L522" s="78"/>
    </row>
    <row r="523" spans="1:12" ht="15" customHeight="1" x14ac:dyDescent="0.2">
      <c r="A523" s="1440"/>
      <c r="B523" s="1440"/>
      <c r="C523" s="1440"/>
      <c r="D523" s="1489"/>
      <c r="E523" s="713" t="s">
        <v>304</v>
      </c>
      <c r="F523" s="721"/>
      <c r="G523" s="721"/>
      <c r="H523" s="721">
        <f t="shared" si="84"/>
        <v>0</v>
      </c>
      <c r="I523" s="78"/>
      <c r="J523" s="78"/>
      <c r="K523" s="78"/>
      <c r="L523" s="78"/>
    </row>
    <row r="524" spans="1:12" s="9" customFormat="1" ht="16.5" customHeight="1" x14ac:dyDescent="0.2">
      <c r="A524" s="179" t="s">
        <v>83</v>
      </c>
      <c r="B524" s="180"/>
      <c r="C524" s="181"/>
      <c r="D524" s="182"/>
      <c r="E524" s="183" t="s">
        <v>69</v>
      </c>
      <c r="F524" s="184"/>
      <c r="G524" s="185"/>
      <c r="H524" s="186"/>
      <c r="I524" s="79"/>
      <c r="J524" s="79"/>
      <c r="K524" s="79"/>
      <c r="L524" s="79"/>
    </row>
    <row r="525" spans="1:12" s="9" customFormat="1" ht="16.5" customHeight="1" x14ac:dyDescent="0.2">
      <c r="A525" s="1529"/>
      <c r="B525" s="1530"/>
      <c r="C525" s="1531"/>
      <c r="D525" s="1526"/>
      <c r="E525" s="507" t="s">
        <v>302</v>
      </c>
      <c r="F525" s="184">
        <f>F529+F533</f>
        <v>11965081</v>
      </c>
      <c r="G525" s="184">
        <f>G529+G533</f>
        <v>1000000</v>
      </c>
      <c r="H525" s="186">
        <f>SUM(F525:G525)</f>
        <v>12965081</v>
      </c>
      <c r="I525" s="79"/>
      <c r="J525" s="79"/>
      <c r="K525" s="79"/>
      <c r="L525" s="79"/>
    </row>
    <row r="526" spans="1:12" s="9" customFormat="1" ht="16.5" customHeight="1" x14ac:dyDescent="0.2">
      <c r="A526" s="1532"/>
      <c r="B526" s="1533"/>
      <c r="C526" s="1534"/>
      <c r="D526" s="1527"/>
      <c r="E526" s="507" t="s">
        <v>303</v>
      </c>
      <c r="F526" s="184">
        <f t="shared" ref="F526:G527" si="90">F530+F534</f>
        <v>12350711</v>
      </c>
      <c r="G526" s="184">
        <f t="shared" si="90"/>
        <v>1000000</v>
      </c>
      <c r="H526" s="186">
        <f t="shared" ref="H526:H527" si="91">SUM(F526:G526)</f>
        <v>13350711</v>
      </c>
      <c r="I526" s="79"/>
      <c r="J526" s="79"/>
      <c r="K526" s="79"/>
      <c r="L526" s="79"/>
    </row>
    <row r="527" spans="1:12" s="9" customFormat="1" ht="16.5" customHeight="1" x14ac:dyDescent="0.2">
      <c r="A527" s="1532"/>
      <c r="B527" s="1533"/>
      <c r="C527" s="1534"/>
      <c r="D527" s="1528"/>
      <c r="E527" s="507" t="s">
        <v>304</v>
      </c>
      <c r="F527" s="184">
        <f t="shared" si="90"/>
        <v>12298760</v>
      </c>
      <c r="G527" s="184">
        <f t="shared" si="90"/>
        <v>0</v>
      </c>
      <c r="H527" s="186">
        <f t="shared" si="91"/>
        <v>12298760</v>
      </c>
      <c r="I527" s="79"/>
      <c r="J527" s="79"/>
      <c r="K527" s="79"/>
      <c r="L527" s="79"/>
    </row>
    <row r="528" spans="1:12" s="9" customFormat="1" ht="16.5" customHeight="1" x14ac:dyDescent="0.2">
      <c r="A528" s="1532"/>
      <c r="B528" s="1533"/>
      <c r="C528" s="1534"/>
      <c r="D528" s="1521" t="s">
        <v>54</v>
      </c>
      <c r="E528" s="711" t="s">
        <v>65</v>
      </c>
      <c r="F528" s="709"/>
      <c r="G528" s="709"/>
      <c r="H528" s="186"/>
      <c r="I528" s="79"/>
      <c r="J528" s="79"/>
      <c r="K528" s="79"/>
      <c r="L528" s="79"/>
    </row>
    <row r="529" spans="1:12" s="9" customFormat="1" ht="16.5" customHeight="1" x14ac:dyDescent="0.2">
      <c r="A529" s="1532"/>
      <c r="B529" s="1533"/>
      <c r="C529" s="1534"/>
      <c r="D529" s="1522"/>
      <c r="E529" s="703" t="s">
        <v>302</v>
      </c>
      <c r="F529" s="707">
        <f>F13+F501</f>
        <v>8690766</v>
      </c>
      <c r="G529" s="707">
        <f>G421</f>
        <v>1000000</v>
      </c>
      <c r="H529" s="186">
        <f>SUM(F529:G529)</f>
        <v>9690766</v>
      </c>
      <c r="I529" s="79"/>
      <c r="J529" s="79"/>
      <c r="K529" s="79"/>
      <c r="L529" s="79"/>
    </row>
    <row r="530" spans="1:12" s="9" customFormat="1" ht="16.5" customHeight="1" x14ac:dyDescent="0.2">
      <c r="A530" s="1532"/>
      <c r="B530" s="1533"/>
      <c r="C530" s="1534"/>
      <c r="D530" s="1522"/>
      <c r="E530" s="703" t="s">
        <v>303</v>
      </c>
      <c r="F530" s="707">
        <f>F14+F502</f>
        <v>9076396</v>
      </c>
      <c r="G530" s="707">
        <f t="shared" ref="G530:G531" si="92">G422</f>
        <v>1000000</v>
      </c>
      <c r="H530" s="186">
        <f t="shared" ref="H530:H531" si="93">SUM(F530:G530)</f>
        <v>10076396</v>
      </c>
      <c r="I530" s="79"/>
      <c r="J530" s="79"/>
      <c r="K530" s="79"/>
      <c r="L530" s="79"/>
    </row>
    <row r="531" spans="1:12" s="9" customFormat="1" ht="16.5" customHeight="1" x14ac:dyDescent="0.2">
      <c r="A531" s="1532"/>
      <c r="B531" s="1533"/>
      <c r="C531" s="1534"/>
      <c r="D531" s="1523"/>
      <c r="E531" s="703" t="s">
        <v>304</v>
      </c>
      <c r="F531" s="707">
        <f t="shared" ref="F531" si="94">F15+F503</f>
        <v>9816388</v>
      </c>
      <c r="G531" s="707">
        <f t="shared" si="92"/>
        <v>0</v>
      </c>
      <c r="H531" s="186">
        <f t="shared" si="93"/>
        <v>9816388</v>
      </c>
      <c r="I531" s="79"/>
      <c r="J531" s="79"/>
      <c r="K531" s="79"/>
      <c r="L531" s="79"/>
    </row>
    <row r="532" spans="1:12" s="10" customFormat="1" ht="12" customHeight="1" x14ac:dyDescent="0.2">
      <c r="A532" s="1532"/>
      <c r="B532" s="1533"/>
      <c r="C532" s="1534"/>
      <c r="D532" s="1524" t="s">
        <v>55</v>
      </c>
      <c r="E532" s="508" t="s">
        <v>66</v>
      </c>
      <c r="F532" s="707"/>
      <c r="G532" s="707"/>
      <c r="H532" s="186"/>
      <c r="I532" s="81"/>
      <c r="J532" s="81"/>
      <c r="K532" s="81"/>
      <c r="L532" s="81"/>
    </row>
    <row r="533" spans="1:12" s="10" customFormat="1" ht="15" customHeight="1" x14ac:dyDescent="0.2">
      <c r="A533" s="1532"/>
      <c r="B533" s="1533"/>
      <c r="C533" s="1534"/>
      <c r="D533" s="1525"/>
      <c r="E533" s="703" t="s">
        <v>302</v>
      </c>
      <c r="F533" s="707">
        <f>F17</f>
        <v>3274315</v>
      </c>
      <c r="G533" s="707">
        <f>G17</f>
        <v>0</v>
      </c>
      <c r="H533" s="186">
        <f>SUM(F533:G533)</f>
        <v>3274315</v>
      </c>
      <c r="I533" s="81"/>
      <c r="J533" s="81"/>
      <c r="K533" s="81"/>
      <c r="L533" s="81"/>
    </row>
    <row r="534" spans="1:12" s="10" customFormat="1" ht="12" customHeight="1" x14ac:dyDescent="0.2">
      <c r="A534" s="1532"/>
      <c r="B534" s="1533"/>
      <c r="C534" s="1534"/>
      <c r="D534" s="1525"/>
      <c r="E534" s="703" t="s">
        <v>303</v>
      </c>
      <c r="F534" s="707">
        <f t="shared" ref="F534:G535" si="95">F18</f>
        <v>3274315</v>
      </c>
      <c r="G534" s="707">
        <f t="shared" si="95"/>
        <v>0</v>
      </c>
      <c r="H534" s="186">
        <f t="shared" ref="H534:H535" si="96">SUM(F534:G534)</f>
        <v>3274315</v>
      </c>
      <c r="I534" s="81"/>
      <c r="J534" s="81"/>
      <c r="K534" s="81"/>
      <c r="L534" s="81"/>
    </row>
    <row r="535" spans="1:12" s="10" customFormat="1" ht="12" customHeight="1" thickBot="1" x14ac:dyDescent="0.25">
      <c r="A535" s="1532"/>
      <c r="B535" s="1533"/>
      <c r="C535" s="1534"/>
      <c r="D535" s="1525"/>
      <c r="E535" s="781" t="s">
        <v>304</v>
      </c>
      <c r="F535" s="782">
        <f t="shared" si="95"/>
        <v>2482372</v>
      </c>
      <c r="G535" s="782">
        <f t="shared" si="95"/>
        <v>0</v>
      </c>
      <c r="H535" s="705">
        <f t="shared" si="96"/>
        <v>2482372</v>
      </c>
      <c r="I535" s="81"/>
      <c r="J535" s="81"/>
      <c r="K535" s="81"/>
      <c r="L535" s="81"/>
    </row>
    <row r="536" spans="1:12" s="10" customFormat="1" ht="27" customHeight="1" thickTop="1" thickBot="1" x14ac:dyDescent="0.25">
      <c r="A536" s="784"/>
      <c r="B536" s="785"/>
      <c r="C536" s="786"/>
      <c r="D536" s="785"/>
      <c r="E536" s="787" t="s">
        <v>258</v>
      </c>
      <c r="F536" s="788"/>
      <c r="G536" s="788"/>
      <c r="H536" s="789"/>
      <c r="I536" s="81"/>
      <c r="J536" s="81"/>
      <c r="K536" s="81"/>
      <c r="L536" s="81"/>
    </row>
    <row r="537" spans="1:12" s="10" customFormat="1" ht="14.25" customHeight="1" thickTop="1" x14ac:dyDescent="0.2">
      <c r="A537" s="1560" t="s">
        <v>140</v>
      </c>
      <c r="B537" s="1561"/>
      <c r="C537" s="1561"/>
      <c r="D537" s="1561"/>
      <c r="E537" s="1562"/>
      <c r="F537" s="783"/>
      <c r="G537" s="783"/>
      <c r="H537" s="783"/>
      <c r="I537" s="81"/>
      <c r="J537" s="81"/>
      <c r="K537" s="81"/>
      <c r="L537" s="81"/>
    </row>
    <row r="538" spans="1:12" s="10" customFormat="1" ht="14.25" customHeight="1" x14ac:dyDescent="0.2">
      <c r="A538" s="1387"/>
      <c r="B538" s="1388"/>
      <c r="C538" s="1388"/>
      <c r="D538" s="1389"/>
      <c r="E538" s="760" t="s">
        <v>302</v>
      </c>
      <c r="F538" s="729">
        <f>F542+F570+F574+F578+F582+F586</f>
        <v>239877848</v>
      </c>
      <c r="G538" s="729"/>
      <c r="H538" s="729">
        <f t="shared" ref="H538:H540" si="97">H542+H570+H574+H578+H582+H586</f>
        <v>239877848</v>
      </c>
      <c r="I538" s="81"/>
      <c r="J538" s="81"/>
      <c r="K538" s="81"/>
      <c r="L538" s="81"/>
    </row>
    <row r="539" spans="1:12" s="10" customFormat="1" ht="14.25" customHeight="1" x14ac:dyDescent="0.2">
      <c r="A539" s="1390"/>
      <c r="B539" s="1391"/>
      <c r="C539" s="1391"/>
      <c r="D539" s="1392"/>
      <c r="E539" s="760" t="s">
        <v>303</v>
      </c>
      <c r="F539" s="729">
        <f t="shared" ref="F539:F540" si="98">F543+F571+F575+F579+F583+F587</f>
        <v>236416340</v>
      </c>
      <c r="G539" s="729"/>
      <c r="H539" s="729">
        <f t="shared" si="97"/>
        <v>236416340</v>
      </c>
      <c r="I539" s="81"/>
      <c r="J539" s="81"/>
      <c r="K539" s="81"/>
      <c r="L539" s="81"/>
    </row>
    <row r="540" spans="1:12" s="10" customFormat="1" ht="14.25" customHeight="1" thickBot="1" x14ac:dyDescent="0.25">
      <c r="A540" s="1390"/>
      <c r="B540" s="1391"/>
      <c r="C540" s="1391"/>
      <c r="D540" s="1392"/>
      <c r="E540" s="778" t="s">
        <v>304</v>
      </c>
      <c r="F540" s="779">
        <f t="shared" si="98"/>
        <v>251339024</v>
      </c>
      <c r="G540" s="779"/>
      <c r="H540" s="779">
        <f t="shared" si="97"/>
        <v>251339024</v>
      </c>
      <c r="I540" s="81"/>
      <c r="J540" s="81"/>
      <c r="K540" s="81"/>
      <c r="L540" s="81"/>
    </row>
    <row r="541" spans="1:12" ht="17.25" customHeight="1" thickTop="1" x14ac:dyDescent="0.2">
      <c r="A541" s="1553" t="s">
        <v>143</v>
      </c>
      <c r="B541" s="1554"/>
      <c r="C541" s="1554"/>
      <c r="D541" s="1554"/>
      <c r="E541" s="1554"/>
      <c r="F541" s="772"/>
      <c r="G541" s="772"/>
      <c r="H541" s="773"/>
      <c r="I541" s="78"/>
      <c r="J541" s="78"/>
      <c r="K541" s="78"/>
      <c r="L541" s="78"/>
    </row>
    <row r="542" spans="1:12" ht="17.25" customHeight="1" x14ac:dyDescent="0.2">
      <c r="A542" s="1441"/>
      <c r="B542" s="1442"/>
      <c r="C542" s="1442"/>
      <c r="D542" s="1443"/>
      <c r="E542" s="703" t="s">
        <v>302</v>
      </c>
      <c r="F542" s="719">
        <f>F546+F550+F554+F558+F562+F566</f>
        <v>179014582</v>
      </c>
      <c r="G542" s="719">
        <f>G546+G550+G554+G558+G562+G566</f>
        <v>0</v>
      </c>
      <c r="H542" s="774">
        <f>SUM(F542:G542)</f>
        <v>179014582</v>
      </c>
      <c r="I542" s="78"/>
      <c r="J542" s="78"/>
      <c r="K542" s="78"/>
      <c r="L542" s="78"/>
    </row>
    <row r="543" spans="1:12" ht="17.25" customHeight="1" x14ac:dyDescent="0.2">
      <c r="A543" s="1444"/>
      <c r="B543" s="1445"/>
      <c r="C543" s="1445"/>
      <c r="D543" s="1446"/>
      <c r="E543" s="703" t="s">
        <v>303</v>
      </c>
      <c r="F543" s="719">
        <f t="shared" ref="F543:G544" si="99">F547+F551+F555+F559+F563+F567</f>
        <v>184821266</v>
      </c>
      <c r="G543" s="719">
        <f t="shared" si="99"/>
        <v>0</v>
      </c>
      <c r="H543" s="774">
        <f t="shared" ref="H543:H606" si="100">SUM(F543:G543)</f>
        <v>184821266</v>
      </c>
      <c r="I543" s="78"/>
      <c r="J543" s="78"/>
      <c r="K543" s="78"/>
      <c r="L543" s="78"/>
    </row>
    <row r="544" spans="1:12" ht="17.25" customHeight="1" thickBot="1" x14ac:dyDescent="0.25">
      <c r="A544" s="1447"/>
      <c r="B544" s="1448"/>
      <c r="C544" s="1448"/>
      <c r="D544" s="1449"/>
      <c r="E544" s="775" t="s">
        <v>304</v>
      </c>
      <c r="F544" s="776">
        <f t="shared" si="99"/>
        <v>185440931</v>
      </c>
      <c r="G544" s="776">
        <f t="shared" si="99"/>
        <v>0</v>
      </c>
      <c r="H544" s="777">
        <f t="shared" si="100"/>
        <v>185440931</v>
      </c>
      <c r="I544" s="78"/>
      <c r="J544" s="78"/>
      <c r="K544" s="78"/>
      <c r="L544" s="78"/>
    </row>
    <row r="545" spans="1:12" s="9" customFormat="1" ht="12.75" customHeight="1" thickTop="1" x14ac:dyDescent="0.2">
      <c r="A545" s="1439">
        <v>1</v>
      </c>
      <c r="B545" s="1439"/>
      <c r="C545" s="1430" t="s">
        <v>84</v>
      </c>
      <c r="D545" s="1425" t="s">
        <v>54</v>
      </c>
      <c r="E545" s="780" t="s">
        <v>74</v>
      </c>
      <c r="F545" s="163"/>
      <c r="G545" s="163"/>
      <c r="H545" s="163"/>
      <c r="I545" s="79"/>
      <c r="J545" s="82"/>
      <c r="K545" s="79"/>
      <c r="L545" s="79"/>
    </row>
    <row r="546" spans="1:12" s="27" customFormat="1" ht="12.75" customHeight="1" x14ac:dyDescent="0.2">
      <c r="A546" s="1440"/>
      <c r="B546" s="1440"/>
      <c r="C546" s="1437"/>
      <c r="D546" s="1438"/>
      <c r="E546" s="308" t="s">
        <v>302</v>
      </c>
      <c r="F546" s="755">
        <v>76997070</v>
      </c>
      <c r="G546" s="755"/>
      <c r="H546" s="164">
        <f t="shared" si="100"/>
        <v>76997070</v>
      </c>
      <c r="I546" s="80"/>
      <c r="J546" s="80"/>
      <c r="K546" s="80"/>
      <c r="L546" s="80"/>
    </row>
    <row r="547" spans="1:12" s="27" customFormat="1" ht="12.75" customHeight="1" x14ac:dyDescent="0.2">
      <c r="A547" s="1440"/>
      <c r="B547" s="1440"/>
      <c r="C547" s="1437"/>
      <c r="D547" s="1438"/>
      <c r="E547" s="308" t="s">
        <v>303</v>
      </c>
      <c r="F547" s="755">
        <v>78137024</v>
      </c>
      <c r="G547" s="755"/>
      <c r="H547" s="164">
        <f t="shared" si="100"/>
        <v>78137024</v>
      </c>
      <c r="I547" s="80"/>
      <c r="J547" s="80"/>
      <c r="K547" s="80"/>
      <c r="L547" s="80"/>
    </row>
    <row r="548" spans="1:12" s="27" customFormat="1" ht="12.75" customHeight="1" x14ac:dyDescent="0.2">
      <c r="A548" s="1440"/>
      <c r="B548" s="1440"/>
      <c r="C548" s="1437"/>
      <c r="D548" s="1438"/>
      <c r="E548" s="308" t="s">
        <v>304</v>
      </c>
      <c r="F548" s="755">
        <v>78137024</v>
      </c>
      <c r="G548" s="755"/>
      <c r="H548" s="164">
        <f t="shared" si="100"/>
        <v>78137024</v>
      </c>
      <c r="I548" s="80"/>
      <c r="J548" s="80"/>
      <c r="K548" s="80"/>
      <c r="L548" s="80"/>
    </row>
    <row r="549" spans="1:12" s="9" customFormat="1" ht="12.75" customHeight="1" x14ac:dyDescent="0.2">
      <c r="A549" s="1419">
        <v>2</v>
      </c>
      <c r="B549" s="1420"/>
      <c r="C549" s="1428" t="s">
        <v>85</v>
      </c>
      <c r="D549" s="1423" t="s">
        <v>54</v>
      </c>
      <c r="E549" s="754" t="s">
        <v>86</v>
      </c>
      <c r="F549" s="164"/>
      <c r="G549" s="164"/>
      <c r="H549" s="164"/>
      <c r="I549" s="79"/>
      <c r="J549" s="79"/>
      <c r="K549" s="79"/>
      <c r="L549" s="79"/>
    </row>
    <row r="550" spans="1:12" s="27" customFormat="1" ht="13.5" customHeight="1" x14ac:dyDescent="0.2">
      <c r="A550" s="1421"/>
      <c r="B550" s="1422"/>
      <c r="C550" s="1429"/>
      <c r="D550" s="1424"/>
      <c r="E550" s="308" t="s">
        <v>302</v>
      </c>
      <c r="F550" s="755">
        <v>43557431</v>
      </c>
      <c r="G550" s="755"/>
      <c r="H550" s="164">
        <f t="shared" si="100"/>
        <v>43557431</v>
      </c>
      <c r="I550" s="80"/>
      <c r="J550" s="80"/>
      <c r="K550" s="80"/>
      <c r="L550" s="80"/>
    </row>
    <row r="551" spans="1:12" s="27" customFormat="1" ht="13.5" customHeight="1" x14ac:dyDescent="0.2">
      <c r="A551" s="1421"/>
      <c r="B551" s="1422"/>
      <c r="C551" s="1429"/>
      <c r="D551" s="1424"/>
      <c r="E551" s="308" t="s">
        <v>303</v>
      </c>
      <c r="F551" s="755">
        <v>43666364</v>
      </c>
      <c r="G551" s="755"/>
      <c r="H551" s="164">
        <f t="shared" si="100"/>
        <v>43666364</v>
      </c>
      <c r="I551" s="80"/>
      <c r="J551" s="80"/>
      <c r="K551" s="80"/>
      <c r="L551" s="80"/>
    </row>
    <row r="552" spans="1:12" s="27" customFormat="1" ht="13.5" customHeight="1" x14ac:dyDescent="0.2">
      <c r="A552" s="1426"/>
      <c r="B552" s="1427"/>
      <c r="C552" s="1430"/>
      <c r="D552" s="1425"/>
      <c r="E552" s="308" t="s">
        <v>304</v>
      </c>
      <c r="F552" s="755">
        <v>42201437</v>
      </c>
      <c r="G552" s="755"/>
      <c r="H552" s="164">
        <f t="shared" si="100"/>
        <v>42201437</v>
      </c>
      <c r="I552" s="80"/>
      <c r="J552" s="80"/>
      <c r="K552" s="80"/>
      <c r="L552" s="80"/>
    </row>
    <row r="553" spans="1:12" s="9" customFormat="1" ht="12.75" customHeight="1" x14ac:dyDescent="0.2">
      <c r="A553" s="1419">
        <v>3</v>
      </c>
      <c r="B553" s="1420"/>
      <c r="C553" s="1428" t="s">
        <v>87</v>
      </c>
      <c r="D553" s="1431" t="s">
        <v>54</v>
      </c>
      <c r="E553" s="754" t="s">
        <v>135</v>
      </c>
      <c r="F553" s="164"/>
      <c r="G553" s="164"/>
      <c r="H553" s="164"/>
      <c r="I553" s="80"/>
      <c r="J553" s="79"/>
      <c r="K553" s="79"/>
      <c r="L553" s="79"/>
    </row>
    <row r="554" spans="1:12" s="27" customFormat="1" ht="14.25" customHeight="1" x14ac:dyDescent="0.2">
      <c r="A554" s="1421"/>
      <c r="B554" s="1422"/>
      <c r="C554" s="1429"/>
      <c r="D554" s="1432"/>
      <c r="E554" s="308" t="s">
        <v>302</v>
      </c>
      <c r="F554" s="755">
        <v>53654921</v>
      </c>
      <c r="G554" s="755"/>
      <c r="H554" s="164">
        <f t="shared" si="100"/>
        <v>53654921</v>
      </c>
      <c r="I554" s="80"/>
      <c r="J554" s="80"/>
      <c r="K554" s="80"/>
      <c r="L554" s="80"/>
    </row>
    <row r="555" spans="1:12" s="27" customFormat="1" ht="14.25" customHeight="1" x14ac:dyDescent="0.2">
      <c r="A555" s="1421"/>
      <c r="B555" s="1422"/>
      <c r="C555" s="1429"/>
      <c r="D555" s="1432"/>
      <c r="E555" s="308" t="s">
        <v>303</v>
      </c>
      <c r="F555" s="755">
        <v>57683898</v>
      </c>
      <c r="G555" s="755"/>
      <c r="H555" s="164">
        <f t="shared" si="100"/>
        <v>57683898</v>
      </c>
      <c r="I555" s="80"/>
      <c r="J555" s="80"/>
      <c r="K555" s="80"/>
      <c r="L555" s="80"/>
    </row>
    <row r="556" spans="1:12" s="27" customFormat="1" ht="14.25" customHeight="1" x14ac:dyDescent="0.2">
      <c r="A556" s="1426"/>
      <c r="B556" s="1427"/>
      <c r="C556" s="1430"/>
      <c r="D556" s="1433"/>
      <c r="E556" s="308" t="s">
        <v>304</v>
      </c>
      <c r="F556" s="755">
        <v>57581074</v>
      </c>
      <c r="G556" s="755"/>
      <c r="H556" s="164">
        <f t="shared" si="100"/>
        <v>57581074</v>
      </c>
      <c r="I556" s="80"/>
      <c r="J556" s="80"/>
      <c r="K556" s="80"/>
      <c r="L556" s="80"/>
    </row>
    <row r="557" spans="1:12" s="27" customFormat="1" ht="14.25" customHeight="1" x14ac:dyDescent="0.2">
      <c r="A557" s="1511">
        <v>4</v>
      </c>
      <c r="B557" s="1513"/>
      <c r="C557" s="1417" t="s">
        <v>88</v>
      </c>
      <c r="D557" s="1431" t="s">
        <v>54</v>
      </c>
      <c r="E557" s="754" t="s">
        <v>89</v>
      </c>
      <c r="F557" s="164"/>
      <c r="G557" s="164"/>
      <c r="H557" s="164"/>
      <c r="I557" s="80"/>
      <c r="J557" s="80"/>
      <c r="K557" s="80"/>
      <c r="L557" s="80"/>
    </row>
    <row r="558" spans="1:12" s="27" customFormat="1" ht="12.75" customHeight="1" x14ac:dyDescent="0.2">
      <c r="A558" s="1514"/>
      <c r="B558" s="1516"/>
      <c r="C558" s="1418"/>
      <c r="D558" s="1432"/>
      <c r="E558" s="308" t="s">
        <v>302</v>
      </c>
      <c r="F558" s="755">
        <v>2476080</v>
      </c>
      <c r="G558" s="755"/>
      <c r="H558" s="164">
        <f t="shared" si="100"/>
        <v>2476080</v>
      </c>
      <c r="I558" s="80"/>
      <c r="J558" s="80"/>
      <c r="K558" s="80"/>
      <c r="L558" s="80"/>
    </row>
    <row r="559" spans="1:12" s="27" customFormat="1" ht="12.75" customHeight="1" x14ac:dyDescent="0.2">
      <c r="A559" s="1514"/>
      <c r="B559" s="1516"/>
      <c r="C559" s="1418"/>
      <c r="D559" s="1432"/>
      <c r="E559" s="308" t="s">
        <v>303</v>
      </c>
      <c r="F559" s="755">
        <v>3224880</v>
      </c>
      <c r="G559" s="755"/>
      <c r="H559" s="164">
        <f t="shared" si="100"/>
        <v>3224880</v>
      </c>
      <c r="I559" s="80"/>
      <c r="J559" s="80"/>
      <c r="K559" s="80"/>
      <c r="L559" s="80"/>
    </row>
    <row r="560" spans="1:12" s="27" customFormat="1" ht="12.75" customHeight="1" x14ac:dyDescent="0.2">
      <c r="A560" s="1517"/>
      <c r="B560" s="1519"/>
      <c r="C560" s="1464"/>
      <c r="D560" s="1433"/>
      <c r="E560" s="308" t="s">
        <v>304</v>
      </c>
      <c r="F560" s="755">
        <v>2905766</v>
      </c>
      <c r="G560" s="755"/>
      <c r="H560" s="164">
        <f t="shared" si="100"/>
        <v>2905766</v>
      </c>
      <c r="I560" s="80"/>
      <c r="J560" s="80"/>
      <c r="K560" s="80"/>
      <c r="L560" s="80"/>
    </row>
    <row r="561" spans="1:12" s="27" customFormat="1" ht="12.75" customHeight="1" x14ac:dyDescent="0.2">
      <c r="A561" s="1419">
        <v>5</v>
      </c>
      <c r="B561" s="1420"/>
      <c r="C561" s="1428" t="s">
        <v>90</v>
      </c>
      <c r="D561" s="1423" t="s">
        <v>54</v>
      </c>
      <c r="E561" s="754" t="s">
        <v>203</v>
      </c>
      <c r="F561" s="164"/>
      <c r="G561" s="164"/>
      <c r="H561" s="164"/>
      <c r="I561" s="80"/>
      <c r="J561" s="80"/>
      <c r="K561" s="80"/>
      <c r="L561" s="80"/>
    </row>
    <row r="562" spans="1:12" s="27" customFormat="1" ht="12.75" customHeight="1" x14ac:dyDescent="0.2">
      <c r="A562" s="1421"/>
      <c r="B562" s="1422"/>
      <c r="C562" s="1429"/>
      <c r="D562" s="1424"/>
      <c r="E562" s="308" t="s">
        <v>302</v>
      </c>
      <c r="F562" s="721">
        <v>2329080</v>
      </c>
      <c r="G562" s="721"/>
      <c r="H562" s="164">
        <f t="shared" si="100"/>
        <v>2329080</v>
      </c>
      <c r="I562" s="80"/>
      <c r="J562" s="80"/>
      <c r="K562" s="80"/>
      <c r="L562" s="80"/>
    </row>
    <row r="563" spans="1:12" s="27" customFormat="1" ht="12.75" customHeight="1" x14ac:dyDescent="0.2">
      <c r="A563" s="1421"/>
      <c r="B563" s="1422"/>
      <c r="C563" s="1429"/>
      <c r="D563" s="1424"/>
      <c r="E563" s="308" t="s">
        <v>303</v>
      </c>
      <c r="F563" s="721">
        <v>2109100</v>
      </c>
      <c r="G563" s="721"/>
      <c r="H563" s="164">
        <f t="shared" si="100"/>
        <v>2109100</v>
      </c>
      <c r="I563" s="80"/>
      <c r="J563" s="80"/>
      <c r="K563" s="80"/>
      <c r="L563" s="80"/>
    </row>
    <row r="564" spans="1:12" s="27" customFormat="1" ht="12.75" customHeight="1" x14ac:dyDescent="0.2">
      <c r="A564" s="1426"/>
      <c r="B564" s="1427"/>
      <c r="C564" s="1430"/>
      <c r="D564" s="1425"/>
      <c r="E564" s="308" t="s">
        <v>304</v>
      </c>
      <c r="F564" s="721">
        <v>4615630</v>
      </c>
      <c r="G564" s="721"/>
      <c r="H564" s="164">
        <f t="shared" si="100"/>
        <v>4615630</v>
      </c>
      <c r="I564" s="80"/>
      <c r="J564" s="80"/>
      <c r="K564" s="80"/>
      <c r="L564" s="80"/>
    </row>
    <row r="565" spans="1:12" ht="12.75" customHeight="1" x14ac:dyDescent="0.2">
      <c r="A565" s="1419">
        <v>6</v>
      </c>
      <c r="B565" s="1420"/>
      <c r="C565" s="1417" t="s">
        <v>91</v>
      </c>
      <c r="D565" s="1417" t="s">
        <v>54</v>
      </c>
      <c r="E565" s="756" t="s">
        <v>92</v>
      </c>
      <c r="F565" s="721"/>
      <c r="G565" s="721"/>
      <c r="H565" s="164"/>
      <c r="I565" s="83"/>
      <c r="J565" s="78"/>
      <c r="K565" s="78"/>
      <c r="L565" s="78"/>
    </row>
    <row r="566" spans="1:12" ht="12.75" customHeight="1" x14ac:dyDescent="0.2">
      <c r="A566" s="1421"/>
      <c r="B566" s="1422"/>
      <c r="C566" s="1418"/>
      <c r="D566" s="1418"/>
      <c r="E566" s="308" t="s">
        <v>302</v>
      </c>
      <c r="F566" s="721"/>
      <c r="G566" s="721"/>
      <c r="H566" s="164">
        <f t="shared" si="100"/>
        <v>0</v>
      </c>
      <c r="I566" s="83"/>
      <c r="J566" s="78"/>
      <c r="K566" s="78"/>
      <c r="L566" s="78"/>
    </row>
    <row r="567" spans="1:12" ht="12.75" customHeight="1" x14ac:dyDescent="0.2">
      <c r="A567" s="1421"/>
      <c r="B567" s="1422"/>
      <c r="C567" s="1418"/>
      <c r="D567" s="1418"/>
      <c r="E567" s="308" t="s">
        <v>303</v>
      </c>
      <c r="F567" s="721"/>
      <c r="G567" s="721"/>
      <c r="H567" s="164">
        <f t="shared" si="100"/>
        <v>0</v>
      </c>
      <c r="I567" s="83"/>
      <c r="J567" s="78"/>
      <c r="K567" s="78"/>
      <c r="L567" s="78"/>
    </row>
    <row r="568" spans="1:12" ht="12.75" customHeight="1" thickBot="1" x14ac:dyDescent="0.25">
      <c r="A568" s="1421"/>
      <c r="B568" s="1422"/>
      <c r="C568" s="1418"/>
      <c r="D568" s="1418"/>
      <c r="E568" s="415" t="s">
        <v>304</v>
      </c>
      <c r="F568" s="739"/>
      <c r="G568" s="739"/>
      <c r="H568" s="732">
        <f t="shared" si="100"/>
        <v>0</v>
      </c>
      <c r="I568" s="83"/>
      <c r="J568" s="78"/>
      <c r="K568" s="78"/>
      <c r="L568" s="78"/>
    </row>
    <row r="569" spans="1:12" ht="15.75" customHeight="1" thickTop="1" thickBot="1" x14ac:dyDescent="0.25">
      <c r="A569" s="1535" t="s">
        <v>93</v>
      </c>
      <c r="B569" s="1536"/>
      <c r="C569" s="1536"/>
      <c r="D569" s="1536"/>
      <c r="E569" s="1537"/>
      <c r="F569" s="767"/>
      <c r="G569" s="768"/>
      <c r="H569" s="769"/>
      <c r="I569" s="83"/>
      <c r="J569" s="78"/>
      <c r="K569" s="78"/>
      <c r="L569" s="78"/>
    </row>
    <row r="570" spans="1:12" ht="15.75" customHeight="1" thickTop="1" x14ac:dyDescent="0.2">
      <c r="A570" s="1405"/>
      <c r="B570" s="1406"/>
      <c r="C570" s="1406"/>
      <c r="D570" s="1407"/>
      <c r="E570" s="766" t="s">
        <v>302</v>
      </c>
      <c r="F570" s="765">
        <v>0</v>
      </c>
      <c r="G570" s="765"/>
      <c r="H570" s="765">
        <f t="shared" si="100"/>
        <v>0</v>
      </c>
      <c r="I570" s="83"/>
      <c r="J570" s="78"/>
      <c r="K570" s="78"/>
      <c r="L570" s="78"/>
    </row>
    <row r="571" spans="1:12" ht="15.75" customHeight="1" x14ac:dyDescent="0.2">
      <c r="A571" s="1405"/>
      <c r="B571" s="1406"/>
      <c r="C571" s="1406"/>
      <c r="D571" s="1407"/>
      <c r="E571" s="762" t="s">
        <v>303</v>
      </c>
      <c r="F571" s="761">
        <v>0</v>
      </c>
      <c r="G571" s="761"/>
      <c r="H571" s="761">
        <f t="shared" si="100"/>
        <v>0</v>
      </c>
      <c r="I571" s="83"/>
      <c r="J571" s="78"/>
      <c r="K571" s="78"/>
      <c r="L571" s="78"/>
    </row>
    <row r="572" spans="1:12" ht="15.75" customHeight="1" thickBot="1" x14ac:dyDescent="0.25">
      <c r="A572" s="1405"/>
      <c r="B572" s="1406"/>
      <c r="C572" s="1406"/>
      <c r="D572" s="1407"/>
      <c r="E572" s="764" t="s">
        <v>304</v>
      </c>
      <c r="F572" s="763">
        <v>0</v>
      </c>
      <c r="G572" s="763"/>
      <c r="H572" s="763">
        <f t="shared" si="100"/>
        <v>0</v>
      </c>
      <c r="I572" s="83"/>
      <c r="J572" s="78"/>
      <c r="K572" s="78"/>
      <c r="L572" s="78"/>
    </row>
    <row r="573" spans="1:12" ht="15.75" customHeight="1" thickTop="1" thickBot="1" x14ac:dyDescent="0.25">
      <c r="A573" s="1535" t="s">
        <v>94</v>
      </c>
      <c r="B573" s="1536"/>
      <c r="C573" s="1536"/>
      <c r="D573" s="1536"/>
      <c r="E573" s="1537"/>
      <c r="F573" s="767"/>
      <c r="G573" s="768"/>
      <c r="H573" s="769"/>
      <c r="I573" s="78"/>
      <c r="J573" s="78"/>
      <c r="K573" s="78"/>
      <c r="L573" s="78"/>
    </row>
    <row r="574" spans="1:12" ht="15.75" customHeight="1" thickTop="1" x14ac:dyDescent="0.2">
      <c r="A574" s="1405"/>
      <c r="B574" s="1406"/>
      <c r="C574" s="1406"/>
      <c r="D574" s="1407"/>
      <c r="E574" s="766" t="s">
        <v>302</v>
      </c>
      <c r="F574" s="765">
        <v>0</v>
      </c>
      <c r="G574" s="765"/>
      <c r="H574" s="765">
        <f t="shared" si="100"/>
        <v>0</v>
      </c>
      <c r="I574" s="78"/>
      <c r="J574" s="78"/>
      <c r="K574" s="78"/>
      <c r="L574" s="78"/>
    </row>
    <row r="575" spans="1:12" ht="15.75" customHeight="1" x14ac:dyDescent="0.2">
      <c r="A575" s="1405"/>
      <c r="B575" s="1406"/>
      <c r="C575" s="1406"/>
      <c r="D575" s="1407"/>
      <c r="E575" s="762" t="s">
        <v>303</v>
      </c>
      <c r="F575" s="761">
        <v>0</v>
      </c>
      <c r="G575" s="761"/>
      <c r="H575" s="761">
        <f t="shared" si="100"/>
        <v>0</v>
      </c>
      <c r="I575" s="78"/>
      <c r="J575" s="78"/>
      <c r="K575" s="78"/>
      <c r="L575" s="78"/>
    </row>
    <row r="576" spans="1:12" ht="15.75" customHeight="1" thickBot="1" x14ac:dyDescent="0.25">
      <c r="A576" s="1405"/>
      <c r="B576" s="1406"/>
      <c r="C576" s="1406"/>
      <c r="D576" s="1407"/>
      <c r="E576" s="764" t="s">
        <v>304</v>
      </c>
      <c r="F576" s="763">
        <v>0</v>
      </c>
      <c r="G576" s="763"/>
      <c r="H576" s="763">
        <f t="shared" si="100"/>
        <v>0</v>
      </c>
      <c r="I576" s="78"/>
      <c r="J576" s="78"/>
      <c r="K576" s="78"/>
      <c r="L576" s="78"/>
    </row>
    <row r="577" spans="1:12" s="78" customFormat="1" ht="17.25" customHeight="1" thickTop="1" thickBot="1" x14ac:dyDescent="0.25">
      <c r="A577" s="1535" t="s">
        <v>95</v>
      </c>
      <c r="B577" s="1536"/>
      <c r="C577" s="1536"/>
      <c r="D577" s="1536"/>
      <c r="E577" s="1537"/>
      <c r="F577" s="767"/>
      <c r="G577" s="768"/>
      <c r="H577" s="769"/>
    </row>
    <row r="578" spans="1:12" s="78" customFormat="1" ht="17.25" customHeight="1" thickTop="1" x14ac:dyDescent="0.2">
      <c r="A578" s="1405"/>
      <c r="B578" s="1406"/>
      <c r="C578" s="1406"/>
      <c r="D578" s="1407"/>
      <c r="E578" s="766" t="s">
        <v>302</v>
      </c>
      <c r="F578" s="765">
        <v>0</v>
      </c>
      <c r="G578" s="765"/>
      <c r="H578" s="765">
        <f t="shared" si="100"/>
        <v>0</v>
      </c>
    </row>
    <row r="579" spans="1:12" s="78" customFormat="1" ht="17.25" customHeight="1" x14ac:dyDescent="0.2">
      <c r="A579" s="1405"/>
      <c r="B579" s="1406"/>
      <c r="C579" s="1406"/>
      <c r="D579" s="1407"/>
      <c r="E579" s="762" t="s">
        <v>303</v>
      </c>
      <c r="F579" s="761">
        <v>0</v>
      </c>
      <c r="G579" s="761"/>
      <c r="H579" s="761">
        <f t="shared" si="100"/>
        <v>0</v>
      </c>
    </row>
    <row r="580" spans="1:12" s="78" customFormat="1" ht="17.25" customHeight="1" thickBot="1" x14ac:dyDescent="0.25">
      <c r="A580" s="1405"/>
      <c r="B580" s="1406"/>
      <c r="C580" s="1406"/>
      <c r="D580" s="1407"/>
      <c r="E580" s="764" t="s">
        <v>304</v>
      </c>
      <c r="F580" s="763">
        <v>0</v>
      </c>
      <c r="G580" s="763"/>
      <c r="H580" s="763">
        <f t="shared" si="100"/>
        <v>0</v>
      </c>
    </row>
    <row r="581" spans="1:12" ht="17.25" customHeight="1" thickTop="1" thickBot="1" x14ac:dyDescent="0.25">
      <c r="A581" s="1535" t="s">
        <v>96</v>
      </c>
      <c r="B581" s="1536"/>
      <c r="C581" s="1536"/>
      <c r="D581" s="1536"/>
      <c r="E581" s="1537"/>
      <c r="F581" s="767"/>
      <c r="G581" s="768"/>
      <c r="H581" s="769"/>
      <c r="I581" s="78"/>
      <c r="J581" s="78"/>
      <c r="K581" s="78"/>
      <c r="L581" s="78"/>
    </row>
    <row r="582" spans="1:12" ht="17.25" customHeight="1" thickTop="1" x14ac:dyDescent="0.2">
      <c r="A582" s="1405"/>
      <c r="B582" s="1406"/>
      <c r="C582" s="1406"/>
      <c r="D582" s="1407"/>
      <c r="E582" s="766" t="s">
        <v>302</v>
      </c>
      <c r="F582" s="765">
        <v>0</v>
      </c>
      <c r="G582" s="765"/>
      <c r="H582" s="765">
        <f t="shared" si="100"/>
        <v>0</v>
      </c>
      <c r="I582" s="78"/>
      <c r="J582" s="78"/>
      <c r="K582" s="78"/>
      <c r="L582" s="78"/>
    </row>
    <row r="583" spans="1:12" ht="17.25" customHeight="1" x14ac:dyDescent="0.2">
      <c r="A583" s="1405"/>
      <c r="B583" s="1406"/>
      <c r="C583" s="1406"/>
      <c r="D583" s="1407"/>
      <c r="E583" s="762" t="s">
        <v>303</v>
      </c>
      <c r="F583" s="761">
        <v>0</v>
      </c>
      <c r="G583" s="761"/>
      <c r="H583" s="761">
        <f t="shared" si="100"/>
        <v>0</v>
      </c>
      <c r="I583" s="78"/>
      <c r="J583" s="78"/>
      <c r="K583" s="78"/>
      <c r="L583" s="78"/>
    </row>
    <row r="584" spans="1:12" ht="17.25" customHeight="1" thickBot="1" x14ac:dyDescent="0.25">
      <c r="A584" s="1405"/>
      <c r="B584" s="1406"/>
      <c r="C584" s="1406"/>
      <c r="D584" s="1407"/>
      <c r="E584" s="764" t="s">
        <v>304</v>
      </c>
      <c r="F584" s="763">
        <v>0</v>
      </c>
      <c r="G584" s="763"/>
      <c r="H584" s="763">
        <f t="shared" si="100"/>
        <v>0</v>
      </c>
      <c r="I584" s="78"/>
      <c r="J584" s="78"/>
      <c r="K584" s="78"/>
      <c r="L584" s="78"/>
    </row>
    <row r="585" spans="1:12" ht="15" customHeight="1" thickTop="1" x14ac:dyDescent="0.2">
      <c r="A585" s="1563" t="s">
        <v>97</v>
      </c>
      <c r="B585" s="1564"/>
      <c r="C585" s="1564"/>
      <c r="D585" s="1564"/>
      <c r="E585" s="1564"/>
      <c r="F585" s="772"/>
      <c r="G585" s="772"/>
      <c r="H585" s="773"/>
      <c r="I585" s="78"/>
      <c r="J585" s="78"/>
      <c r="K585" s="78"/>
      <c r="L585" s="78"/>
    </row>
    <row r="586" spans="1:12" ht="15" customHeight="1" x14ac:dyDescent="0.2">
      <c r="A586" s="1408"/>
      <c r="B586" s="1409"/>
      <c r="C586" s="1409"/>
      <c r="D586" s="1410"/>
      <c r="E586" s="703" t="s">
        <v>302</v>
      </c>
      <c r="F586" s="719">
        <f>F590+F594+F598+F602+F606</f>
        <v>60863266</v>
      </c>
      <c r="G586" s="719"/>
      <c r="H586" s="774">
        <f t="shared" si="100"/>
        <v>60863266</v>
      </c>
      <c r="I586" s="78"/>
      <c r="J586" s="78"/>
      <c r="K586" s="78"/>
      <c r="L586" s="78"/>
    </row>
    <row r="587" spans="1:12" ht="15" customHeight="1" x14ac:dyDescent="0.2">
      <c r="A587" s="1411"/>
      <c r="B587" s="1412"/>
      <c r="C587" s="1412"/>
      <c r="D587" s="1413"/>
      <c r="E587" s="703" t="s">
        <v>303</v>
      </c>
      <c r="F587" s="719">
        <f t="shared" ref="F587:F588" si="101">F591+F595+F599+F603+F607</f>
        <v>51595074</v>
      </c>
      <c r="G587" s="719"/>
      <c r="H587" s="774">
        <f t="shared" si="100"/>
        <v>51595074</v>
      </c>
      <c r="I587" s="78"/>
      <c r="J587" s="78"/>
      <c r="K587" s="78"/>
      <c r="L587" s="78"/>
    </row>
    <row r="588" spans="1:12" ht="15" customHeight="1" thickBot="1" x14ac:dyDescent="0.25">
      <c r="A588" s="1414"/>
      <c r="B588" s="1415"/>
      <c r="C588" s="1415"/>
      <c r="D588" s="1416"/>
      <c r="E588" s="775" t="s">
        <v>304</v>
      </c>
      <c r="F588" s="776">
        <f t="shared" si="101"/>
        <v>65898093</v>
      </c>
      <c r="G588" s="776"/>
      <c r="H588" s="777">
        <f t="shared" si="100"/>
        <v>65898093</v>
      </c>
      <c r="I588" s="78"/>
      <c r="J588" s="78"/>
      <c r="K588" s="78"/>
      <c r="L588" s="78"/>
    </row>
    <row r="589" spans="1:12" ht="14.25" customHeight="1" thickTop="1" x14ac:dyDescent="0.2">
      <c r="A589" s="1398">
        <v>2</v>
      </c>
      <c r="B589" s="1399"/>
      <c r="C589" s="1403" t="s">
        <v>153</v>
      </c>
      <c r="D589" s="1403" t="s">
        <v>54</v>
      </c>
      <c r="E589" s="770" t="s">
        <v>98</v>
      </c>
      <c r="G589" s="771"/>
      <c r="H589" s="163"/>
      <c r="I589" s="78"/>
      <c r="J589" s="78"/>
      <c r="K589" s="78"/>
      <c r="L589" s="78"/>
    </row>
    <row r="590" spans="1:12" ht="14.25" customHeight="1" x14ac:dyDescent="0.2">
      <c r="A590" s="1398"/>
      <c r="B590" s="1399"/>
      <c r="C590" s="1403"/>
      <c r="D590" s="1403"/>
      <c r="E590" s="308" t="s">
        <v>302</v>
      </c>
      <c r="F590" s="721">
        <v>1248000</v>
      </c>
      <c r="G590" s="721"/>
      <c r="H590" s="164">
        <f t="shared" si="100"/>
        <v>1248000</v>
      </c>
      <c r="I590" s="78"/>
      <c r="J590" s="78"/>
      <c r="K590" s="78"/>
      <c r="L590" s="78"/>
    </row>
    <row r="591" spans="1:12" ht="14.25" customHeight="1" x14ac:dyDescent="0.2">
      <c r="A591" s="1398"/>
      <c r="B591" s="1399"/>
      <c r="C591" s="1403"/>
      <c r="D591" s="1403"/>
      <c r="E591" s="308" t="s">
        <v>303</v>
      </c>
      <c r="F591" s="721">
        <v>1819000</v>
      </c>
      <c r="G591" s="721"/>
      <c r="H591" s="164">
        <f t="shared" si="100"/>
        <v>1819000</v>
      </c>
      <c r="I591" s="78"/>
      <c r="J591" s="78"/>
      <c r="K591" s="78"/>
      <c r="L591" s="78"/>
    </row>
    <row r="592" spans="1:12" ht="14.25" customHeight="1" x14ac:dyDescent="0.2">
      <c r="A592" s="1400"/>
      <c r="B592" s="1401"/>
      <c r="C592" s="1404"/>
      <c r="D592" s="1404"/>
      <c r="E592" s="308" t="s">
        <v>304</v>
      </c>
      <c r="F592" s="721">
        <v>1819000</v>
      </c>
      <c r="G592" s="721"/>
      <c r="H592" s="164">
        <f t="shared" si="100"/>
        <v>1819000</v>
      </c>
      <c r="I592" s="78"/>
      <c r="J592" s="78"/>
      <c r="K592" s="78"/>
      <c r="L592" s="78"/>
    </row>
    <row r="593" spans="1:12" ht="14.25" customHeight="1" x14ac:dyDescent="0.2">
      <c r="A593" s="1396">
        <v>3</v>
      </c>
      <c r="B593" s="1397"/>
      <c r="C593" s="1402" t="s">
        <v>153</v>
      </c>
      <c r="D593" s="1402" t="s">
        <v>54</v>
      </c>
      <c r="E593" s="757" t="s">
        <v>48</v>
      </c>
      <c r="F593" s="8"/>
      <c r="G593" s="721"/>
      <c r="H593" s="164">
        <f t="shared" si="100"/>
        <v>0</v>
      </c>
      <c r="I593" s="83"/>
      <c r="J593" s="78"/>
      <c r="K593" s="78"/>
      <c r="L593" s="78"/>
    </row>
    <row r="594" spans="1:12" ht="14.25" customHeight="1" x14ac:dyDescent="0.2">
      <c r="A594" s="1398"/>
      <c r="B594" s="1399"/>
      <c r="C594" s="1403"/>
      <c r="D594" s="1403"/>
      <c r="E594" s="308" t="s">
        <v>302</v>
      </c>
      <c r="F594" s="721">
        <v>54463666</v>
      </c>
      <c r="G594" s="721"/>
      <c r="H594" s="164">
        <f t="shared" si="100"/>
        <v>54463666</v>
      </c>
      <c r="I594" s="83"/>
      <c r="J594" s="78"/>
      <c r="K594" s="78"/>
      <c r="L594" s="78"/>
    </row>
    <row r="595" spans="1:12" ht="14.25" customHeight="1" x14ac:dyDescent="0.2">
      <c r="A595" s="1398"/>
      <c r="B595" s="1399"/>
      <c r="C595" s="1403"/>
      <c r="D595" s="1403"/>
      <c r="E595" s="308" t="s">
        <v>303</v>
      </c>
      <c r="F595" s="721">
        <f>43224518+6834209-6573177</f>
        <v>43485550</v>
      </c>
      <c r="G595" s="721"/>
      <c r="H595" s="164">
        <f>SUM(F595:G595)</f>
        <v>43485550</v>
      </c>
      <c r="I595" s="83"/>
      <c r="J595" s="78"/>
      <c r="K595" s="78"/>
      <c r="L595" s="78"/>
    </row>
    <row r="596" spans="1:12" ht="14.25" customHeight="1" x14ac:dyDescent="0.2">
      <c r="A596" s="1400"/>
      <c r="B596" s="1401"/>
      <c r="C596" s="1404"/>
      <c r="D596" s="1404"/>
      <c r="E596" s="308" t="s">
        <v>304</v>
      </c>
      <c r="F596" s="721">
        <v>57599833</v>
      </c>
      <c r="G596" s="721"/>
      <c r="H596" s="164">
        <f t="shared" si="100"/>
        <v>57599833</v>
      </c>
      <c r="I596" s="83"/>
      <c r="J596" s="78"/>
      <c r="K596" s="78"/>
      <c r="L596" s="78"/>
    </row>
    <row r="597" spans="1:12" ht="14.25" customHeight="1" x14ac:dyDescent="0.2">
      <c r="A597" s="1396">
        <v>4</v>
      </c>
      <c r="B597" s="1397"/>
      <c r="C597" s="1402" t="s">
        <v>153</v>
      </c>
      <c r="D597" s="1402" t="s">
        <v>54</v>
      </c>
      <c r="E597" s="757" t="s">
        <v>187</v>
      </c>
      <c r="F597" s="721"/>
      <c r="G597" s="721"/>
      <c r="H597" s="164">
        <f t="shared" si="100"/>
        <v>0</v>
      </c>
      <c r="I597" s="83"/>
      <c r="J597" s="78"/>
      <c r="K597" s="78"/>
      <c r="L597" s="78"/>
    </row>
    <row r="598" spans="1:12" ht="14.25" customHeight="1" x14ac:dyDescent="0.2">
      <c r="A598" s="1398"/>
      <c r="B598" s="1399"/>
      <c r="C598" s="1403"/>
      <c r="D598" s="1403"/>
      <c r="E598" s="308" t="s">
        <v>302</v>
      </c>
      <c r="F598" s="721">
        <v>4251600</v>
      </c>
      <c r="G598" s="721"/>
      <c r="H598" s="164">
        <f t="shared" si="100"/>
        <v>4251600</v>
      </c>
      <c r="I598" s="83"/>
      <c r="J598" s="78"/>
      <c r="K598" s="78"/>
      <c r="L598" s="78"/>
    </row>
    <row r="599" spans="1:12" ht="14.25" customHeight="1" x14ac:dyDescent="0.2">
      <c r="A599" s="1398"/>
      <c r="B599" s="1399"/>
      <c r="C599" s="1403"/>
      <c r="D599" s="1403"/>
      <c r="E599" s="308" t="s">
        <v>303</v>
      </c>
      <c r="F599" s="721">
        <f>12*354300</f>
        <v>4251600</v>
      </c>
      <c r="G599" s="721"/>
      <c r="H599" s="164">
        <f t="shared" si="100"/>
        <v>4251600</v>
      </c>
      <c r="I599" s="83"/>
      <c r="J599" s="78"/>
      <c r="K599" s="78"/>
      <c r="L599" s="78"/>
    </row>
    <row r="600" spans="1:12" ht="14.25" customHeight="1" x14ac:dyDescent="0.2">
      <c r="A600" s="1400"/>
      <c r="B600" s="1401"/>
      <c r="C600" s="1404"/>
      <c r="D600" s="1404"/>
      <c r="E600" s="308" t="s">
        <v>304</v>
      </c>
      <c r="F600" s="721">
        <v>4440336</v>
      </c>
      <c r="G600" s="721"/>
      <c r="H600" s="164">
        <f t="shared" si="100"/>
        <v>4440336</v>
      </c>
      <c r="I600" s="83"/>
      <c r="J600" s="78"/>
      <c r="K600" s="78"/>
      <c r="L600" s="78"/>
    </row>
    <row r="601" spans="1:12" ht="14.25" customHeight="1" x14ac:dyDescent="0.2">
      <c r="A601" s="1396">
        <v>5</v>
      </c>
      <c r="B601" s="1397"/>
      <c r="C601" s="1402" t="s">
        <v>153</v>
      </c>
      <c r="D601" s="1402" t="s">
        <v>54</v>
      </c>
      <c r="E601" s="758" t="s">
        <v>188</v>
      </c>
      <c r="F601" s="721"/>
      <c r="G601" s="721"/>
      <c r="H601" s="164">
        <f t="shared" si="100"/>
        <v>0</v>
      </c>
      <c r="I601" s="83"/>
      <c r="J601" s="78"/>
      <c r="K601" s="78"/>
      <c r="L601" s="78"/>
    </row>
    <row r="602" spans="1:12" ht="14.25" customHeight="1" x14ac:dyDescent="0.2">
      <c r="A602" s="1398"/>
      <c r="B602" s="1399"/>
      <c r="C602" s="1403"/>
      <c r="D602" s="1403"/>
      <c r="E602" s="308" t="s">
        <v>302</v>
      </c>
      <c r="F602" s="721">
        <v>900000</v>
      </c>
      <c r="G602" s="721"/>
      <c r="H602" s="164">
        <f t="shared" si="100"/>
        <v>900000</v>
      </c>
      <c r="I602" s="83"/>
      <c r="J602" s="78"/>
      <c r="K602" s="78"/>
      <c r="L602" s="78"/>
    </row>
    <row r="603" spans="1:12" ht="14.25" customHeight="1" x14ac:dyDescent="0.2">
      <c r="A603" s="1398"/>
      <c r="B603" s="1399"/>
      <c r="C603" s="1403"/>
      <c r="D603" s="1403"/>
      <c r="E603" s="308" t="s">
        <v>303</v>
      </c>
      <c r="F603" s="721">
        <v>685106</v>
      </c>
      <c r="G603" s="721"/>
      <c r="H603" s="164">
        <f t="shared" si="100"/>
        <v>685106</v>
      </c>
      <c r="I603" s="83"/>
      <c r="J603" s="78"/>
      <c r="K603" s="78"/>
      <c r="L603" s="78"/>
    </row>
    <row r="604" spans="1:12" ht="14.25" customHeight="1" x14ac:dyDescent="0.2">
      <c r="A604" s="1400"/>
      <c r="B604" s="1401"/>
      <c r="C604" s="1404"/>
      <c r="D604" s="1404"/>
      <c r="E604" s="308" t="s">
        <v>304</v>
      </c>
      <c r="F604" s="721">
        <v>685106</v>
      </c>
      <c r="G604" s="721"/>
      <c r="H604" s="164">
        <f t="shared" si="100"/>
        <v>685106</v>
      </c>
      <c r="I604" s="83"/>
      <c r="J604" s="78"/>
      <c r="K604" s="78"/>
      <c r="L604" s="78"/>
    </row>
    <row r="605" spans="1:12" ht="12" customHeight="1" x14ac:dyDescent="0.2">
      <c r="A605" s="1396">
        <v>6</v>
      </c>
      <c r="B605" s="1397"/>
      <c r="C605" s="1402" t="s">
        <v>153</v>
      </c>
      <c r="D605" s="1402" t="s">
        <v>55</v>
      </c>
      <c r="E605" s="759" t="s">
        <v>205</v>
      </c>
      <c r="F605" s="8"/>
      <c r="G605" s="721"/>
      <c r="H605" s="164"/>
      <c r="I605" s="78"/>
      <c r="J605" s="78"/>
      <c r="K605" s="78"/>
      <c r="L605" s="78"/>
    </row>
    <row r="606" spans="1:12" ht="12" customHeight="1" x14ac:dyDescent="0.2">
      <c r="A606" s="1398"/>
      <c r="B606" s="1399"/>
      <c r="C606" s="1403"/>
      <c r="D606" s="1403"/>
      <c r="E606" s="308" t="s">
        <v>302</v>
      </c>
      <c r="F606" s="721">
        <v>0</v>
      </c>
      <c r="G606" s="721"/>
      <c r="H606" s="164">
        <f t="shared" si="100"/>
        <v>0</v>
      </c>
      <c r="I606" s="78"/>
      <c r="J606" s="78"/>
      <c r="K606" s="78"/>
      <c r="L606" s="78"/>
    </row>
    <row r="607" spans="1:12" ht="12" customHeight="1" x14ac:dyDescent="0.2">
      <c r="A607" s="1398"/>
      <c r="B607" s="1399"/>
      <c r="C607" s="1403"/>
      <c r="D607" s="1403"/>
      <c r="E607" s="308" t="s">
        <v>303</v>
      </c>
      <c r="F607" s="721">
        <v>1353818</v>
      </c>
      <c r="G607" s="721"/>
      <c r="H607" s="164">
        <f t="shared" ref="H607:H608" si="102">SUM(F607:G607)</f>
        <v>1353818</v>
      </c>
      <c r="I607" s="78"/>
      <c r="J607" s="78"/>
      <c r="K607" s="78"/>
      <c r="L607" s="78"/>
    </row>
    <row r="608" spans="1:12" ht="12" customHeight="1" x14ac:dyDescent="0.2">
      <c r="A608" s="1400"/>
      <c r="B608" s="1401"/>
      <c r="C608" s="1404"/>
      <c r="D608" s="1404"/>
      <c r="E608" s="308" t="s">
        <v>304</v>
      </c>
      <c r="F608" s="721">
        <v>1353818</v>
      </c>
      <c r="G608" s="721"/>
      <c r="H608" s="164">
        <f t="shared" si="102"/>
        <v>1353818</v>
      </c>
      <c r="I608" s="78"/>
      <c r="J608" s="78"/>
      <c r="K608" s="78"/>
      <c r="L608" s="78"/>
    </row>
    <row r="609" spans="1:12" ht="16.5" customHeight="1" x14ac:dyDescent="0.2">
      <c r="A609" s="1567" t="s">
        <v>144</v>
      </c>
      <c r="B609" s="1567"/>
      <c r="C609" s="1567"/>
      <c r="D609" s="1567"/>
      <c r="E609" s="1567"/>
      <c r="F609" s="729"/>
      <c r="G609" s="729"/>
      <c r="H609" s="729"/>
      <c r="I609" s="78"/>
      <c r="J609" s="78"/>
      <c r="K609" s="78"/>
      <c r="L609" s="78"/>
    </row>
    <row r="610" spans="1:12" ht="16.5" customHeight="1" x14ac:dyDescent="0.2">
      <c r="A610" s="1387"/>
      <c r="B610" s="1388"/>
      <c r="C610" s="1388"/>
      <c r="D610" s="1389"/>
      <c r="E610" s="790" t="s">
        <v>302</v>
      </c>
      <c r="F610" s="729">
        <f>F614+F626</f>
        <v>0</v>
      </c>
      <c r="G610" s="729">
        <f>G614+G626</f>
        <v>0</v>
      </c>
      <c r="H610" s="729">
        <f>SUM(F610:G610)</f>
        <v>0</v>
      </c>
      <c r="I610" s="78"/>
      <c r="J610" s="78"/>
      <c r="K610" s="78"/>
      <c r="L610" s="78"/>
    </row>
    <row r="611" spans="1:12" ht="16.5" customHeight="1" x14ac:dyDescent="0.2">
      <c r="A611" s="1390"/>
      <c r="B611" s="1391"/>
      <c r="C611" s="1391"/>
      <c r="D611" s="1392"/>
      <c r="E611" s="790" t="s">
        <v>303</v>
      </c>
      <c r="F611" s="729">
        <f t="shared" ref="F611:G612" si="103">F615+F627</f>
        <v>0</v>
      </c>
      <c r="G611" s="729">
        <f t="shared" si="103"/>
        <v>219339067</v>
      </c>
      <c r="H611" s="729">
        <f t="shared" ref="H611:H612" si="104">SUM(F611:G611)</f>
        <v>219339067</v>
      </c>
      <c r="I611" s="78"/>
      <c r="J611" s="78"/>
      <c r="K611" s="78"/>
      <c r="L611" s="78"/>
    </row>
    <row r="612" spans="1:12" ht="16.5" customHeight="1" x14ac:dyDescent="0.2">
      <c r="A612" s="1393"/>
      <c r="B612" s="1394"/>
      <c r="C612" s="1394"/>
      <c r="D612" s="1395"/>
      <c r="E612" s="790" t="s">
        <v>304</v>
      </c>
      <c r="F612" s="729">
        <f t="shared" si="103"/>
        <v>0</v>
      </c>
      <c r="G612" s="729">
        <f t="shared" si="103"/>
        <v>219866957</v>
      </c>
      <c r="H612" s="729">
        <f t="shared" si="104"/>
        <v>219866957</v>
      </c>
      <c r="I612" s="78"/>
      <c r="J612" s="78"/>
      <c r="K612" s="78"/>
      <c r="L612" s="78"/>
    </row>
    <row r="613" spans="1:12" ht="16.5" customHeight="1" x14ac:dyDescent="0.2">
      <c r="A613" s="1565" t="s">
        <v>289</v>
      </c>
      <c r="B613" s="1565"/>
      <c r="C613" s="1565"/>
      <c r="D613" s="1565"/>
      <c r="E613" s="1565"/>
      <c r="F613" s="166"/>
      <c r="G613" s="166"/>
      <c r="H613" s="166"/>
      <c r="I613" s="78"/>
      <c r="J613" s="78"/>
      <c r="K613" s="78"/>
      <c r="L613" s="78"/>
    </row>
    <row r="614" spans="1:12" ht="16.5" customHeight="1" x14ac:dyDescent="0.2">
      <c r="A614" s="1378"/>
      <c r="B614" s="1379"/>
      <c r="C614" s="1379"/>
      <c r="D614" s="1380"/>
      <c r="E614" s="520" t="s">
        <v>302</v>
      </c>
      <c r="F614" s="166">
        <f>F618+F622</f>
        <v>0</v>
      </c>
      <c r="G614" s="166">
        <f>G618+G622</f>
        <v>0</v>
      </c>
      <c r="H614" s="166">
        <f>SUM(F614:G614)</f>
        <v>0</v>
      </c>
      <c r="I614" s="78"/>
      <c r="J614" s="78"/>
      <c r="K614" s="78"/>
      <c r="L614" s="78"/>
    </row>
    <row r="615" spans="1:12" ht="16.5" customHeight="1" x14ac:dyDescent="0.2">
      <c r="A615" s="1381"/>
      <c r="B615" s="1382"/>
      <c r="C615" s="1382"/>
      <c r="D615" s="1383"/>
      <c r="E615" s="520" t="s">
        <v>303</v>
      </c>
      <c r="F615" s="166">
        <f t="shared" ref="F615:G616" si="105">F619+F623</f>
        <v>0</v>
      </c>
      <c r="G615" s="166">
        <f t="shared" si="105"/>
        <v>50048999</v>
      </c>
      <c r="H615" s="166">
        <f t="shared" ref="H615:H616" si="106">SUM(F615:G615)</f>
        <v>50048999</v>
      </c>
      <c r="I615" s="78"/>
      <c r="J615" s="78"/>
      <c r="K615" s="78"/>
      <c r="L615" s="78"/>
    </row>
    <row r="616" spans="1:12" ht="16.5" customHeight="1" x14ac:dyDescent="0.2">
      <c r="A616" s="1384"/>
      <c r="B616" s="1385"/>
      <c r="C616" s="1385"/>
      <c r="D616" s="1386"/>
      <c r="E616" s="520" t="s">
        <v>304</v>
      </c>
      <c r="F616" s="166">
        <f t="shared" si="105"/>
        <v>0</v>
      </c>
      <c r="G616" s="166">
        <f t="shared" si="105"/>
        <v>50048999</v>
      </c>
      <c r="H616" s="166">
        <f t="shared" si="106"/>
        <v>50048999</v>
      </c>
      <c r="I616" s="78"/>
      <c r="J616" s="78"/>
      <c r="K616" s="78"/>
      <c r="L616" s="78"/>
    </row>
    <row r="617" spans="1:12" ht="16.5" customHeight="1" x14ac:dyDescent="0.2">
      <c r="A617" s="1365">
        <v>1</v>
      </c>
      <c r="B617" s="1366"/>
      <c r="C617" s="1372" t="s">
        <v>282</v>
      </c>
      <c r="D617" s="1372" t="s">
        <v>54</v>
      </c>
      <c r="E617" s="791" t="s">
        <v>276</v>
      </c>
      <c r="F617" s="164"/>
      <c r="G617" s="721"/>
      <c r="H617" s="721"/>
      <c r="I617" s="78"/>
      <c r="J617" s="78"/>
      <c r="K617" s="78"/>
      <c r="L617" s="78"/>
    </row>
    <row r="618" spans="1:12" ht="16.5" customHeight="1" x14ac:dyDescent="0.2">
      <c r="A618" s="1367"/>
      <c r="B618" s="1368"/>
      <c r="C618" s="1373"/>
      <c r="D618" s="1373"/>
      <c r="E618" s="308" t="s">
        <v>302</v>
      </c>
      <c r="F618" s="164"/>
      <c r="G618" s="721">
        <v>0</v>
      </c>
      <c r="H618" s="721">
        <f>SUM(G618)</f>
        <v>0</v>
      </c>
      <c r="I618" s="78"/>
      <c r="J618" s="78"/>
      <c r="K618" s="78"/>
      <c r="L618" s="78"/>
    </row>
    <row r="619" spans="1:12" ht="16.5" customHeight="1" x14ac:dyDescent="0.2">
      <c r="A619" s="1367"/>
      <c r="B619" s="1368"/>
      <c r="C619" s="1373"/>
      <c r="D619" s="1373"/>
      <c r="E619" s="308" t="s">
        <v>303</v>
      </c>
      <c r="F619" s="164"/>
      <c r="G619" s="721">
        <v>14999999</v>
      </c>
      <c r="H619" s="721">
        <f t="shared" ref="H619:H620" si="107">SUM(G619)</f>
        <v>14999999</v>
      </c>
      <c r="I619" s="78"/>
      <c r="J619" s="78"/>
      <c r="K619" s="78"/>
      <c r="L619" s="78"/>
    </row>
    <row r="620" spans="1:12" ht="16.5" customHeight="1" x14ac:dyDescent="0.2">
      <c r="A620" s="1369"/>
      <c r="B620" s="1370"/>
      <c r="C620" s="1374"/>
      <c r="D620" s="1374"/>
      <c r="E620" s="308" t="s">
        <v>304</v>
      </c>
      <c r="F620" s="164"/>
      <c r="G620" s="721">
        <v>14999999</v>
      </c>
      <c r="H620" s="721">
        <f t="shared" si="107"/>
        <v>14999999</v>
      </c>
      <c r="I620" s="78"/>
      <c r="J620" s="78"/>
      <c r="K620" s="78"/>
      <c r="L620" s="78"/>
    </row>
    <row r="621" spans="1:12" ht="16.5" customHeight="1" x14ac:dyDescent="0.2">
      <c r="A621" s="1365">
        <v>2</v>
      </c>
      <c r="B621" s="1366"/>
      <c r="C621" s="1372" t="s">
        <v>282</v>
      </c>
      <c r="D621" s="1372" t="s">
        <v>54</v>
      </c>
      <c r="E621" s="791" t="s">
        <v>285</v>
      </c>
      <c r="F621" s="164"/>
      <c r="G621" s="721"/>
      <c r="H621" s="721"/>
      <c r="I621" s="731"/>
      <c r="J621" s="78"/>
      <c r="K621" s="78"/>
      <c r="L621" s="78"/>
    </row>
    <row r="622" spans="1:12" ht="16.5" customHeight="1" x14ac:dyDescent="0.2">
      <c r="A622" s="1367"/>
      <c r="B622" s="1368"/>
      <c r="C622" s="1373"/>
      <c r="D622" s="1373"/>
      <c r="E622" s="308" t="s">
        <v>302</v>
      </c>
      <c r="F622" s="164"/>
      <c r="G622" s="721"/>
      <c r="H622" s="721">
        <f t="shared" ref="H622:H624" si="108">F622+G622</f>
        <v>0</v>
      </c>
      <c r="I622" s="731"/>
      <c r="J622" s="78"/>
      <c r="K622" s="78"/>
      <c r="L622" s="78"/>
    </row>
    <row r="623" spans="1:12" ht="16.5" customHeight="1" x14ac:dyDescent="0.2">
      <c r="A623" s="1367"/>
      <c r="B623" s="1368"/>
      <c r="C623" s="1373"/>
      <c r="D623" s="1373"/>
      <c r="E623" s="308" t="s">
        <v>303</v>
      </c>
      <c r="F623" s="164"/>
      <c r="G623" s="721">
        <v>35049000</v>
      </c>
      <c r="H623" s="721">
        <f t="shared" si="108"/>
        <v>35049000</v>
      </c>
      <c r="I623" s="731"/>
      <c r="J623" s="78"/>
      <c r="K623" s="78"/>
      <c r="L623" s="78"/>
    </row>
    <row r="624" spans="1:12" ht="16.5" customHeight="1" x14ac:dyDescent="0.2">
      <c r="A624" s="1369"/>
      <c r="B624" s="1370"/>
      <c r="C624" s="1374"/>
      <c r="D624" s="1374"/>
      <c r="E624" s="308" t="s">
        <v>304</v>
      </c>
      <c r="F624" s="164"/>
      <c r="G624" s="721">
        <v>35049000</v>
      </c>
      <c r="H624" s="721">
        <f t="shared" si="108"/>
        <v>35049000</v>
      </c>
      <c r="I624" s="731"/>
      <c r="J624" s="78"/>
      <c r="K624" s="78"/>
      <c r="L624" s="78"/>
    </row>
    <row r="625" spans="1:12" ht="16.5" customHeight="1" x14ac:dyDescent="0.2">
      <c r="A625" s="1375" t="s">
        <v>288</v>
      </c>
      <c r="B625" s="1376"/>
      <c r="C625" s="1376"/>
      <c r="D625" s="1376"/>
      <c r="E625" s="1377"/>
      <c r="F625" s="166"/>
      <c r="G625" s="166"/>
      <c r="H625" s="166"/>
      <c r="I625" s="78"/>
      <c r="J625" s="78"/>
      <c r="K625" s="78"/>
      <c r="L625" s="78"/>
    </row>
    <row r="626" spans="1:12" ht="16.5" customHeight="1" x14ac:dyDescent="0.2">
      <c r="A626" s="1378"/>
      <c r="B626" s="1379"/>
      <c r="C626" s="1379"/>
      <c r="D626" s="1380"/>
      <c r="E626" s="520" t="s">
        <v>302</v>
      </c>
      <c r="F626" s="166">
        <f>F630+F634+F638</f>
        <v>0</v>
      </c>
      <c r="G626" s="166">
        <f>G630+G634+G638</f>
        <v>0</v>
      </c>
      <c r="H626" s="166">
        <f t="shared" ref="H626:H628" si="109">F626+G626</f>
        <v>0</v>
      </c>
      <c r="I626" s="78"/>
      <c r="J626" s="78"/>
      <c r="K626" s="78"/>
      <c r="L626" s="78"/>
    </row>
    <row r="627" spans="1:12" ht="16.5" customHeight="1" x14ac:dyDescent="0.2">
      <c r="A627" s="1381"/>
      <c r="B627" s="1382"/>
      <c r="C627" s="1382"/>
      <c r="D627" s="1383"/>
      <c r="E627" s="520" t="s">
        <v>303</v>
      </c>
      <c r="F627" s="166">
        <f t="shared" ref="F627:G628" si="110">F631+F635+F639</f>
        <v>0</v>
      </c>
      <c r="G627" s="166">
        <f t="shared" si="110"/>
        <v>169290068</v>
      </c>
      <c r="H627" s="166">
        <f t="shared" si="109"/>
        <v>169290068</v>
      </c>
      <c r="I627" s="78"/>
      <c r="J627" s="78"/>
      <c r="K627" s="78"/>
      <c r="L627" s="78"/>
    </row>
    <row r="628" spans="1:12" ht="16.5" customHeight="1" x14ac:dyDescent="0.2">
      <c r="A628" s="1384"/>
      <c r="B628" s="1385"/>
      <c r="C628" s="1385"/>
      <c r="D628" s="1386"/>
      <c r="E628" s="520" t="s">
        <v>304</v>
      </c>
      <c r="F628" s="166">
        <f t="shared" si="110"/>
        <v>0</v>
      </c>
      <c r="G628" s="166">
        <f t="shared" si="110"/>
        <v>169817958</v>
      </c>
      <c r="H628" s="166">
        <f t="shared" si="109"/>
        <v>169817958</v>
      </c>
      <c r="I628" s="78"/>
      <c r="J628" s="78"/>
      <c r="K628" s="78"/>
      <c r="L628" s="78"/>
    </row>
    <row r="629" spans="1:12" ht="17.25" customHeight="1" x14ac:dyDescent="0.2">
      <c r="A629" s="1356">
        <v>1</v>
      </c>
      <c r="B629" s="1357"/>
      <c r="C629" s="1362" t="s">
        <v>154</v>
      </c>
      <c r="D629" s="1362" t="s">
        <v>54</v>
      </c>
      <c r="E629" s="758" t="s">
        <v>267</v>
      </c>
      <c r="F629" s="164"/>
      <c r="G629" s="721"/>
      <c r="H629" s="721"/>
      <c r="I629" s="78"/>
      <c r="J629" s="78"/>
      <c r="K629" s="78"/>
      <c r="L629" s="78"/>
    </row>
    <row r="630" spans="1:12" ht="17.25" customHeight="1" x14ac:dyDescent="0.2">
      <c r="A630" s="1358"/>
      <c r="B630" s="1359"/>
      <c r="C630" s="1363"/>
      <c r="D630" s="1363"/>
      <c r="E630" s="308" t="s">
        <v>302</v>
      </c>
      <c r="F630" s="164"/>
      <c r="G630" s="721">
        <v>0</v>
      </c>
      <c r="H630" s="721">
        <f>SUM(F630:G630)</f>
        <v>0</v>
      </c>
      <c r="I630" s="78"/>
      <c r="J630" s="78"/>
      <c r="K630" s="78"/>
      <c r="L630" s="78"/>
    </row>
    <row r="631" spans="1:12" ht="17.25" customHeight="1" x14ac:dyDescent="0.2">
      <c r="A631" s="1358"/>
      <c r="B631" s="1359"/>
      <c r="C631" s="1363"/>
      <c r="D631" s="1363"/>
      <c r="E631" s="308" t="s">
        <v>303</v>
      </c>
      <c r="F631" s="164"/>
      <c r="G631" s="721">
        <v>52089000</v>
      </c>
      <c r="H631" s="721">
        <f t="shared" ref="H631:H641" si="111">SUM(F631:G631)</f>
        <v>52089000</v>
      </c>
      <c r="I631" s="78"/>
      <c r="J631" s="78"/>
      <c r="K631" s="78"/>
      <c r="L631" s="78"/>
    </row>
    <row r="632" spans="1:12" ht="17.25" customHeight="1" x14ac:dyDescent="0.2">
      <c r="A632" s="1360"/>
      <c r="B632" s="1361"/>
      <c r="C632" s="1364"/>
      <c r="D632" s="1364"/>
      <c r="E632" s="308" t="s">
        <v>304</v>
      </c>
      <c r="F632" s="164"/>
      <c r="G632" s="721">
        <v>52089000</v>
      </c>
      <c r="H632" s="721">
        <f t="shared" si="111"/>
        <v>52089000</v>
      </c>
      <c r="I632" s="78"/>
      <c r="J632" s="78"/>
      <c r="K632" s="78"/>
      <c r="L632" s="78"/>
    </row>
    <row r="633" spans="1:12" ht="17.25" customHeight="1" x14ac:dyDescent="0.2">
      <c r="A633" s="1365">
        <v>2</v>
      </c>
      <c r="B633" s="1366"/>
      <c r="C633" s="1362" t="s">
        <v>154</v>
      </c>
      <c r="D633" s="1362" t="s">
        <v>54</v>
      </c>
      <c r="E633" s="758" t="s">
        <v>272</v>
      </c>
      <c r="F633" s="164"/>
      <c r="G633" s="721">
        <v>103997593</v>
      </c>
      <c r="H633" s="721">
        <f t="shared" si="111"/>
        <v>103997593</v>
      </c>
      <c r="I633" s="78"/>
      <c r="J633" s="78"/>
      <c r="K633" s="78"/>
      <c r="L633" s="78"/>
    </row>
    <row r="634" spans="1:12" ht="17.25" customHeight="1" x14ac:dyDescent="0.2">
      <c r="A634" s="1367"/>
      <c r="B634" s="1368"/>
      <c r="C634" s="1363"/>
      <c r="D634" s="1363"/>
      <c r="E634" s="308" t="s">
        <v>302</v>
      </c>
      <c r="F634" s="164"/>
      <c r="G634" s="721">
        <v>0</v>
      </c>
      <c r="H634" s="721">
        <f t="shared" si="111"/>
        <v>0</v>
      </c>
      <c r="I634" s="78"/>
      <c r="J634" s="78"/>
      <c r="K634" s="78"/>
      <c r="L634" s="78"/>
    </row>
    <row r="635" spans="1:12" ht="17.25" customHeight="1" x14ac:dyDescent="0.2">
      <c r="A635" s="1367"/>
      <c r="B635" s="1368"/>
      <c r="C635" s="1363"/>
      <c r="D635" s="1363"/>
      <c r="E635" s="308" t="s">
        <v>303</v>
      </c>
      <c r="F635" s="164"/>
      <c r="G635" s="721">
        <v>103997593</v>
      </c>
      <c r="H635" s="721">
        <f t="shared" si="111"/>
        <v>103997593</v>
      </c>
      <c r="I635" s="78"/>
      <c r="J635" s="78"/>
      <c r="K635" s="78"/>
      <c r="L635" s="78"/>
    </row>
    <row r="636" spans="1:12" ht="17.25" customHeight="1" x14ac:dyDescent="0.2">
      <c r="A636" s="1369"/>
      <c r="B636" s="1370"/>
      <c r="C636" s="1364"/>
      <c r="D636" s="1364"/>
      <c r="E636" s="308" t="s">
        <v>304</v>
      </c>
      <c r="F636" s="164"/>
      <c r="G636" s="721">
        <v>103997593</v>
      </c>
      <c r="H636" s="721">
        <f t="shared" si="111"/>
        <v>103997593</v>
      </c>
      <c r="I636" s="78"/>
      <c r="J636" s="78"/>
      <c r="K636" s="78"/>
      <c r="L636" s="78"/>
    </row>
    <row r="637" spans="1:12" ht="17.25" customHeight="1" x14ac:dyDescent="0.2">
      <c r="A637" s="1356">
        <v>3</v>
      </c>
      <c r="B637" s="1357"/>
      <c r="C637" s="1362" t="s">
        <v>154</v>
      </c>
      <c r="D637" s="1362" t="s">
        <v>54</v>
      </c>
      <c r="E637" s="758" t="s">
        <v>48</v>
      </c>
      <c r="F637" s="164"/>
      <c r="G637" s="721"/>
      <c r="H637" s="721"/>
      <c r="I637" s="78"/>
      <c r="J637" s="78"/>
      <c r="K637" s="78"/>
      <c r="L637" s="78"/>
    </row>
    <row r="638" spans="1:12" ht="17.25" customHeight="1" x14ac:dyDescent="0.2">
      <c r="A638" s="1358"/>
      <c r="B638" s="1359"/>
      <c r="C638" s="1363"/>
      <c r="D638" s="1363"/>
      <c r="E638" s="308" t="s">
        <v>302</v>
      </c>
      <c r="F638" s="164"/>
      <c r="G638" s="721">
        <v>0</v>
      </c>
      <c r="H638" s="721">
        <f t="shared" si="111"/>
        <v>0</v>
      </c>
      <c r="I638" s="78"/>
      <c r="J638" s="78"/>
      <c r="K638" s="78"/>
      <c r="L638" s="78"/>
    </row>
    <row r="639" spans="1:12" ht="17.25" customHeight="1" x14ac:dyDescent="0.2">
      <c r="A639" s="1358"/>
      <c r="B639" s="1359"/>
      <c r="C639" s="1363"/>
      <c r="D639" s="1363"/>
      <c r="E639" s="308" t="s">
        <v>303</v>
      </c>
      <c r="F639" s="164"/>
      <c r="G639" s="721">
        <v>13203475</v>
      </c>
      <c r="H639" s="721">
        <f t="shared" si="111"/>
        <v>13203475</v>
      </c>
      <c r="I639" s="78"/>
      <c r="J639" s="78"/>
      <c r="K639" s="78"/>
      <c r="L639" s="78"/>
    </row>
    <row r="640" spans="1:12" ht="17.25" customHeight="1" x14ac:dyDescent="0.2">
      <c r="A640" s="1358"/>
      <c r="B640" s="1359"/>
      <c r="C640" s="1363"/>
      <c r="D640" s="1363"/>
      <c r="E640" s="308" t="s">
        <v>304</v>
      </c>
      <c r="F640" s="164"/>
      <c r="G640" s="721">
        <v>13731365</v>
      </c>
      <c r="H640" s="721">
        <f t="shared" si="111"/>
        <v>13731365</v>
      </c>
      <c r="I640" s="78"/>
      <c r="J640" s="78"/>
      <c r="K640" s="78"/>
      <c r="L640" s="78"/>
    </row>
    <row r="641" spans="1:12" ht="17.25" customHeight="1" x14ac:dyDescent="0.2">
      <c r="A641" s="1360"/>
      <c r="B641" s="1361"/>
      <c r="C641" s="1364"/>
      <c r="D641" s="1364"/>
      <c r="E641" s="758"/>
      <c r="F641" s="164"/>
      <c r="G641" s="721"/>
      <c r="H641" s="721">
        <f t="shared" si="111"/>
        <v>0</v>
      </c>
      <c r="I641" s="78"/>
      <c r="J641" s="78"/>
      <c r="K641" s="78"/>
      <c r="L641" s="78"/>
    </row>
    <row r="642" spans="1:12" ht="15" customHeight="1" x14ac:dyDescent="0.2">
      <c r="A642" s="1353" t="s">
        <v>136</v>
      </c>
      <c r="B642" s="1353"/>
      <c r="C642" s="1353"/>
      <c r="D642" s="1353"/>
      <c r="E642" s="1353"/>
      <c r="F642" s="752"/>
      <c r="G642" s="752"/>
      <c r="H642" s="752"/>
      <c r="I642" s="78"/>
      <c r="J642" s="78"/>
      <c r="K642" s="78"/>
      <c r="L642" s="78"/>
    </row>
    <row r="643" spans="1:12" ht="15" customHeight="1" x14ac:dyDescent="0.2">
      <c r="A643" s="1353"/>
      <c r="B643" s="1353"/>
      <c r="C643" s="1353"/>
      <c r="D643" s="1353"/>
      <c r="E643" s="790" t="s">
        <v>302</v>
      </c>
      <c r="F643" s="752">
        <f>F651+F655+F668+F671</f>
        <v>24306642</v>
      </c>
      <c r="G643" s="752">
        <f>G651+G655+G668+G671</f>
        <v>3693358</v>
      </c>
      <c r="H643" s="752">
        <f>SUM(F643:G643)</f>
        <v>28000000</v>
      </c>
      <c r="I643" s="78"/>
      <c r="J643" s="78"/>
      <c r="K643" s="78"/>
      <c r="L643" s="78"/>
    </row>
    <row r="644" spans="1:12" ht="15" customHeight="1" x14ac:dyDescent="0.2">
      <c r="A644" s="1353"/>
      <c r="B644" s="1353"/>
      <c r="C644" s="1353"/>
      <c r="D644" s="1353"/>
      <c r="E644" s="790" t="s">
        <v>303</v>
      </c>
      <c r="F644" s="752">
        <f t="shared" ref="F644:G645" si="112">F652+F656+F669+F672</f>
        <v>29306642</v>
      </c>
      <c r="G644" s="752">
        <f t="shared" si="112"/>
        <v>6533276</v>
      </c>
      <c r="H644" s="752">
        <f t="shared" ref="H644:H645" si="113">SUM(F644:G644)</f>
        <v>35839918</v>
      </c>
      <c r="I644" s="78"/>
      <c r="J644" s="78"/>
      <c r="K644" s="78"/>
      <c r="L644" s="78"/>
    </row>
    <row r="645" spans="1:12" ht="15" customHeight="1" x14ac:dyDescent="0.2">
      <c r="A645" s="1353"/>
      <c r="B645" s="1353"/>
      <c r="C645" s="1353"/>
      <c r="D645" s="1353"/>
      <c r="E645" s="790" t="s">
        <v>304</v>
      </c>
      <c r="F645" s="752">
        <f t="shared" si="112"/>
        <v>29576949</v>
      </c>
      <c r="G645" s="752">
        <f t="shared" si="112"/>
        <v>0</v>
      </c>
      <c r="H645" s="752">
        <f t="shared" si="113"/>
        <v>29576949</v>
      </c>
      <c r="I645" s="78"/>
      <c r="J645" s="78"/>
      <c r="K645" s="78"/>
      <c r="L645" s="78"/>
    </row>
    <row r="646" spans="1:12" ht="15" customHeight="1" x14ac:dyDescent="0.2">
      <c r="A646" s="1371" t="s">
        <v>99</v>
      </c>
      <c r="B646" s="1371"/>
      <c r="C646" s="1371"/>
      <c r="D646" s="1371"/>
      <c r="E646" s="1371"/>
      <c r="F646" s="792">
        <v>0</v>
      </c>
      <c r="G646" s="792"/>
      <c r="H646" s="792">
        <v>0</v>
      </c>
      <c r="I646" s="78"/>
      <c r="J646" s="78"/>
      <c r="K646" s="78"/>
      <c r="L646" s="78"/>
    </row>
    <row r="647" spans="1:12" ht="15" customHeight="1" x14ac:dyDescent="0.2">
      <c r="A647" s="1371" t="s">
        <v>100</v>
      </c>
      <c r="B647" s="1371"/>
      <c r="C647" s="1371"/>
      <c r="D647" s="1371"/>
      <c r="E647" s="1371"/>
      <c r="F647" s="792">
        <v>0</v>
      </c>
      <c r="G647" s="792"/>
      <c r="H647" s="792">
        <v>0</v>
      </c>
      <c r="I647" s="78"/>
      <c r="J647" s="78"/>
      <c r="K647" s="78"/>
      <c r="L647" s="78"/>
    </row>
    <row r="648" spans="1:12" ht="15" customHeight="1" x14ac:dyDescent="0.2">
      <c r="A648" s="1371" t="s">
        <v>138</v>
      </c>
      <c r="B648" s="1371"/>
      <c r="C648" s="1371"/>
      <c r="D648" s="1371"/>
      <c r="E648" s="1371"/>
      <c r="F648" s="792">
        <v>0</v>
      </c>
      <c r="G648" s="792"/>
      <c r="H648" s="792">
        <v>0</v>
      </c>
      <c r="I648" s="78"/>
      <c r="J648" s="78"/>
      <c r="K648" s="78"/>
      <c r="L648" s="78"/>
    </row>
    <row r="649" spans="1:12" ht="14.25" customHeight="1" x14ac:dyDescent="0.2">
      <c r="A649" s="1371" t="s">
        <v>145</v>
      </c>
      <c r="B649" s="1371"/>
      <c r="C649" s="1371"/>
      <c r="D649" s="1371"/>
      <c r="E649" s="1371"/>
      <c r="F649" s="793"/>
      <c r="G649" s="793"/>
      <c r="H649" s="793"/>
      <c r="I649" s="78"/>
      <c r="J649" s="78"/>
      <c r="K649" s="78"/>
      <c r="L649" s="78"/>
    </row>
    <row r="650" spans="1:12" ht="14.25" customHeight="1" x14ac:dyDescent="0.2">
      <c r="A650" s="1354">
        <v>1</v>
      </c>
      <c r="B650" s="1354"/>
      <c r="C650" s="1354" t="s">
        <v>649</v>
      </c>
      <c r="D650" s="1354" t="s">
        <v>55</v>
      </c>
      <c r="E650" s="794" t="s">
        <v>101</v>
      </c>
      <c r="F650" s="792"/>
      <c r="G650" s="792"/>
      <c r="H650" s="792"/>
      <c r="I650" s="78"/>
      <c r="J650" s="78"/>
      <c r="K650" s="78"/>
      <c r="L650" s="78"/>
    </row>
    <row r="651" spans="1:12" ht="14.25" customHeight="1" x14ac:dyDescent="0.2">
      <c r="A651" s="1354"/>
      <c r="B651" s="1354"/>
      <c r="C651" s="1354"/>
      <c r="D651" s="1354"/>
      <c r="E651" s="795" t="s">
        <v>302</v>
      </c>
      <c r="F651" s="792">
        <v>5800000</v>
      </c>
      <c r="G651" s="792"/>
      <c r="H651" s="792">
        <f>F651</f>
        <v>5800000</v>
      </c>
      <c r="I651" s="78"/>
      <c r="J651" s="78"/>
      <c r="K651" s="78"/>
      <c r="L651" s="78"/>
    </row>
    <row r="652" spans="1:12" ht="14.25" customHeight="1" x14ac:dyDescent="0.2">
      <c r="A652" s="1354"/>
      <c r="B652" s="1354"/>
      <c r="C652" s="1354"/>
      <c r="D652" s="1354"/>
      <c r="E652" s="795" t="s">
        <v>303</v>
      </c>
      <c r="F652" s="792">
        <v>5800000</v>
      </c>
      <c r="G652" s="792"/>
      <c r="H652" s="792">
        <f>F652</f>
        <v>5800000</v>
      </c>
      <c r="I652" s="78"/>
      <c r="J652" s="78"/>
      <c r="K652" s="78"/>
      <c r="L652" s="78"/>
    </row>
    <row r="653" spans="1:12" ht="14.25" customHeight="1" x14ac:dyDescent="0.2">
      <c r="A653" s="1354"/>
      <c r="B653" s="1354"/>
      <c r="C653" s="1354"/>
      <c r="D653" s="1354"/>
      <c r="E653" s="795" t="s">
        <v>304</v>
      </c>
      <c r="F653" s="792">
        <v>5916199</v>
      </c>
      <c r="G653" s="792"/>
      <c r="H653" s="792">
        <f>F653</f>
        <v>5916199</v>
      </c>
      <c r="I653" s="78"/>
      <c r="J653" s="78"/>
      <c r="K653" s="78"/>
      <c r="L653" s="78"/>
    </row>
    <row r="654" spans="1:12" ht="14.25" customHeight="1" x14ac:dyDescent="0.2">
      <c r="A654" s="1371" t="s">
        <v>146</v>
      </c>
      <c r="B654" s="1371"/>
      <c r="C654" s="1371"/>
      <c r="D654" s="1371"/>
      <c r="E654" s="1371"/>
      <c r="F654" s="793"/>
      <c r="G654" s="793"/>
      <c r="H654" s="793"/>
      <c r="I654" s="78"/>
      <c r="J654" s="78"/>
      <c r="K654" s="78"/>
      <c r="L654" s="78"/>
    </row>
    <row r="655" spans="1:12" ht="14.25" customHeight="1" x14ac:dyDescent="0.2">
      <c r="A655" s="1355"/>
      <c r="B655" s="1355"/>
      <c r="C655" s="1355"/>
      <c r="D655" s="1355"/>
      <c r="E655" s="811" t="s">
        <v>302</v>
      </c>
      <c r="F655" s="793">
        <f>F659+F663</f>
        <v>18406642</v>
      </c>
      <c r="G655" s="793">
        <f>G659</f>
        <v>3693358</v>
      </c>
      <c r="H655" s="793">
        <f>F655</f>
        <v>18406642</v>
      </c>
      <c r="I655" s="78"/>
      <c r="J655" s="78"/>
      <c r="K655" s="78"/>
      <c r="L655" s="78"/>
    </row>
    <row r="656" spans="1:12" ht="14.25" customHeight="1" x14ac:dyDescent="0.2">
      <c r="A656" s="1355"/>
      <c r="B656" s="1355"/>
      <c r="C656" s="1355"/>
      <c r="D656" s="1355"/>
      <c r="E656" s="811" t="s">
        <v>303</v>
      </c>
      <c r="F656" s="793">
        <f t="shared" ref="F656:F657" si="114">F660+F664</f>
        <v>23406642</v>
      </c>
      <c r="G656" s="793">
        <f t="shared" ref="G656:G657" si="115">G660</f>
        <v>6533276</v>
      </c>
      <c r="H656" s="793">
        <f t="shared" ref="H656:H670" si="116">F656</f>
        <v>23406642</v>
      </c>
      <c r="I656" s="78"/>
      <c r="J656" s="78"/>
      <c r="K656" s="78"/>
      <c r="L656" s="78"/>
    </row>
    <row r="657" spans="1:12" ht="14.25" customHeight="1" x14ac:dyDescent="0.2">
      <c r="A657" s="1355"/>
      <c r="B657" s="1355"/>
      <c r="C657" s="1355"/>
      <c r="D657" s="1355"/>
      <c r="E657" s="811" t="s">
        <v>304</v>
      </c>
      <c r="F657" s="793">
        <f t="shared" si="114"/>
        <v>23491832</v>
      </c>
      <c r="G657" s="793">
        <f t="shared" si="115"/>
        <v>0</v>
      </c>
      <c r="H657" s="793">
        <f t="shared" si="116"/>
        <v>23491832</v>
      </c>
      <c r="I657" s="78"/>
      <c r="J657" s="78"/>
      <c r="K657" s="78"/>
      <c r="L657" s="78"/>
    </row>
    <row r="658" spans="1:12" ht="14.25" customHeight="1" x14ac:dyDescent="0.2">
      <c r="A658" s="1349">
        <v>1</v>
      </c>
      <c r="B658" s="1349"/>
      <c r="C658" s="1349" t="s">
        <v>206</v>
      </c>
      <c r="D658" s="1349" t="s">
        <v>55</v>
      </c>
      <c r="E658" s="796" t="s">
        <v>102</v>
      </c>
      <c r="F658" s="792"/>
      <c r="G658" s="792"/>
      <c r="H658" s="792"/>
      <c r="I658" s="78"/>
      <c r="J658" s="78"/>
      <c r="K658" s="78"/>
      <c r="L658" s="78"/>
    </row>
    <row r="659" spans="1:12" ht="14.25" customHeight="1" x14ac:dyDescent="0.2">
      <c r="A659" s="1349"/>
      <c r="B659" s="1349"/>
      <c r="C659" s="1349"/>
      <c r="D659" s="1349"/>
      <c r="E659" s="795" t="s">
        <v>302</v>
      </c>
      <c r="F659" s="792">
        <v>13406642</v>
      </c>
      <c r="G659" s="792">
        <v>3693358</v>
      </c>
      <c r="H659" s="792">
        <f>F659+G659</f>
        <v>17100000</v>
      </c>
      <c r="I659" s="78"/>
      <c r="J659" s="78"/>
      <c r="K659" s="78"/>
      <c r="L659" s="78"/>
    </row>
    <row r="660" spans="1:12" ht="14.25" customHeight="1" x14ac:dyDescent="0.2">
      <c r="A660" s="1349"/>
      <c r="B660" s="1349"/>
      <c r="C660" s="1349"/>
      <c r="D660" s="1349"/>
      <c r="E660" s="795" t="s">
        <v>303</v>
      </c>
      <c r="F660" s="96">
        <f>17100000-G660+2839918+5000000</f>
        <v>18406642</v>
      </c>
      <c r="G660" s="97">
        <f>3693358+2839918</f>
        <v>6533276</v>
      </c>
      <c r="H660" s="792">
        <f t="shared" ref="H660:H661" si="117">F660+G660</f>
        <v>24939918</v>
      </c>
      <c r="I660" s="78"/>
      <c r="J660" s="78"/>
      <c r="K660" s="78"/>
      <c r="L660" s="78"/>
    </row>
    <row r="661" spans="1:12" ht="14.25" customHeight="1" x14ac:dyDescent="0.2">
      <c r="A661" s="1349"/>
      <c r="B661" s="1349"/>
      <c r="C661" s="1349"/>
      <c r="D661" s="1349"/>
      <c r="E661" s="795" t="s">
        <v>304</v>
      </c>
      <c r="F661" s="792">
        <v>18292159</v>
      </c>
      <c r="G661" s="792"/>
      <c r="H661" s="792">
        <f t="shared" si="117"/>
        <v>18292159</v>
      </c>
      <c r="I661" s="83"/>
      <c r="J661" s="78"/>
      <c r="K661" s="78"/>
      <c r="L661" s="78"/>
    </row>
    <row r="662" spans="1:12" ht="14.25" customHeight="1" x14ac:dyDescent="0.2">
      <c r="A662" s="1349">
        <v>2</v>
      </c>
      <c r="B662" s="1349"/>
      <c r="C662" s="1349" t="s">
        <v>207</v>
      </c>
      <c r="D662" s="1349" t="s">
        <v>54</v>
      </c>
      <c r="E662" s="797" t="s">
        <v>26</v>
      </c>
      <c r="F662" s="792"/>
      <c r="G662" s="792"/>
      <c r="H662" s="792"/>
      <c r="I662" s="83"/>
      <c r="J662" s="78"/>
      <c r="K662" s="78"/>
      <c r="L662" s="78"/>
    </row>
    <row r="663" spans="1:12" ht="14.25" customHeight="1" x14ac:dyDescent="0.2">
      <c r="A663" s="1349"/>
      <c r="B663" s="1349"/>
      <c r="C663" s="1349"/>
      <c r="D663" s="1349"/>
      <c r="E663" s="795" t="s">
        <v>302</v>
      </c>
      <c r="F663" s="792">
        <v>5000000</v>
      </c>
      <c r="G663" s="792"/>
      <c r="H663" s="792">
        <f t="shared" si="116"/>
        <v>5000000</v>
      </c>
      <c r="I663" s="83"/>
      <c r="J663" s="78"/>
      <c r="K663" s="78"/>
      <c r="L663" s="78"/>
    </row>
    <row r="664" spans="1:12" ht="14.25" customHeight="1" x14ac:dyDescent="0.2">
      <c r="A664" s="1349"/>
      <c r="B664" s="1349"/>
      <c r="C664" s="1349"/>
      <c r="D664" s="1349"/>
      <c r="E664" s="795" t="s">
        <v>303</v>
      </c>
      <c r="F664" s="792">
        <v>5000000</v>
      </c>
      <c r="G664" s="792"/>
      <c r="H664" s="792">
        <f t="shared" si="116"/>
        <v>5000000</v>
      </c>
      <c r="I664" s="83"/>
      <c r="J664" s="78"/>
      <c r="K664" s="78"/>
      <c r="L664" s="78"/>
    </row>
    <row r="665" spans="1:12" ht="14.25" customHeight="1" x14ac:dyDescent="0.2">
      <c r="A665" s="1349"/>
      <c r="B665" s="1349"/>
      <c r="C665" s="1349"/>
      <c r="D665" s="1349"/>
      <c r="E665" s="795" t="s">
        <v>304</v>
      </c>
      <c r="F665" s="792">
        <v>5199673</v>
      </c>
      <c r="G665" s="792"/>
      <c r="H665" s="792">
        <f t="shared" si="116"/>
        <v>5199673</v>
      </c>
      <c r="I665" s="78"/>
      <c r="J665" s="78"/>
      <c r="K665" s="78"/>
      <c r="L665" s="78"/>
    </row>
    <row r="666" spans="1:12" ht="14.25" customHeight="1" x14ac:dyDescent="0.2">
      <c r="A666" s="1371" t="s">
        <v>103</v>
      </c>
      <c r="B666" s="1371"/>
      <c r="C666" s="1371"/>
      <c r="D666" s="1371"/>
      <c r="E666" s="1371"/>
      <c r="F666" s="793"/>
      <c r="G666" s="793"/>
      <c r="H666" s="793"/>
      <c r="I666" s="78"/>
      <c r="J666" s="78"/>
      <c r="K666" s="78"/>
      <c r="L666" s="78"/>
    </row>
    <row r="667" spans="1:12" ht="14.25" customHeight="1" x14ac:dyDescent="0.2">
      <c r="A667" s="1340">
        <v>1</v>
      </c>
      <c r="B667" s="1341"/>
      <c r="C667" s="1346" t="s">
        <v>104</v>
      </c>
      <c r="D667" s="798"/>
      <c r="E667" s="797" t="s">
        <v>159</v>
      </c>
      <c r="F667" s="792"/>
      <c r="G667" s="792"/>
      <c r="H667" s="793"/>
      <c r="I667" s="78"/>
      <c r="J667" s="78"/>
      <c r="K667" s="78"/>
      <c r="L667" s="78"/>
    </row>
    <row r="668" spans="1:12" ht="14.25" customHeight="1" x14ac:dyDescent="0.2">
      <c r="A668" s="1342"/>
      <c r="B668" s="1343"/>
      <c r="C668" s="1347"/>
      <c r="D668" s="1346" t="s">
        <v>55</v>
      </c>
      <c r="E668" s="795" t="s">
        <v>302</v>
      </c>
      <c r="F668" s="792">
        <v>0</v>
      </c>
      <c r="G668" s="792"/>
      <c r="H668" s="793">
        <f t="shared" si="116"/>
        <v>0</v>
      </c>
      <c r="I668" s="78"/>
      <c r="J668" s="78"/>
      <c r="K668" s="78"/>
      <c r="L668" s="78"/>
    </row>
    <row r="669" spans="1:12" ht="14.25" customHeight="1" x14ac:dyDescent="0.2">
      <c r="A669" s="1342"/>
      <c r="B669" s="1343"/>
      <c r="C669" s="1347"/>
      <c r="D669" s="1347"/>
      <c r="E669" s="795" t="s">
        <v>303</v>
      </c>
      <c r="F669" s="792">
        <v>0</v>
      </c>
      <c r="G669" s="792"/>
      <c r="H669" s="793">
        <f t="shared" si="116"/>
        <v>0</v>
      </c>
      <c r="I669" s="78"/>
      <c r="J669" s="78"/>
      <c r="K669" s="78"/>
      <c r="L669" s="78"/>
    </row>
    <row r="670" spans="1:12" ht="14.25" customHeight="1" x14ac:dyDescent="0.2">
      <c r="A670" s="1342"/>
      <c r="B670" s="1343"/>
      <c r="C670" s="1347"/>
      <c r="D670" s="1348"/>
      <c r="E670" s="795" t="s">
        <v>304</v>
      </c>
      <c r="F670" s="792">
        <v>0</v>
      </c>
      <c r="G670" s="792"/>
      <c r="H670" s="793">
        <f t="shared" si="116"/>
        <v>0</v>
      </c>
      <c r="I670" s="78"/>
      <c r="J670" s="78"/>
      <c r="K670" s="78"/>
      <c r="L670" s="78"/>
    </row>
    <row r="671" spans="1:12" ht="14.25" customHeight="1" x14ac:dyDescent="0.2">
      <c r="A671" s="1342"/>
      <c r="B671" s="1343"/>
      <c r="C671" s="1347"/>
      <c r="D671" s="1346" t="s">
        <v>54</v>
      </c>
      <c r="E671" s="795" t="s">
        <v>302</v>
      </c>
      <c r="F671" s="792">
        <v>100000</v>
      </c>
      <c r="G671" s="792"/>
      <c r="H671" s="793">
        <f>F671</f>
        <v>100000</v>
      </c>
      <c r="I671" s="78"/>
      <c r="J671" s="78"/>
      <c r="K671" s="78"/>
      <c r="L671" s="78"/>
    </row>
    <row r="672" spans="1:12" ht="14.25" customHeight="1" x14ac:dyDescent="0.2">
      <c r="A672" s="1342"/>
      <c r="B672" s="1343"/>
      <c r="C672" s="1347"/>
      <c r="D672" s="1347"/>
      <c r="E672" s="795" t="s">
        <v>303</v>
      </c>
      <c r="F672" s="792">
        <v>100000</v>
      </c>
      <c r="G672" s="792"/>
      <c r="H672" s="793">
        <f>F672</f>
        <v>100000</v>
      </c>
      <c r="I672" s="78"/>
      <c r="J672" s="78"/>
      <c r="K672" s="78"/>
      <c r="L672" s="78"/>
    </row>
    <row r="673" spans="1:12" ht="14.25" customHeight="1" x14ac:dyDescent="0.2">
      <c r="A673" s="1344"/>
      <c r="B673" s="1345"/>
      <c r="C673" s="1348"/>
      <c r="D673" s="1348"/>
      <c r="E673" s="795" t="s">
        <v>304</v>
      </c>
      <c r="F673" s="792">
        <v>168918</v>
      </c>
      <c r="G673" s="792"/>
      <c r="H673" s="793">
        <f>F673</f>
        <v>168918</v>
      </c>
      <c r="I673" s="78"/>
      <c r="J673" s="78"/>
      <c r="K673" s="78"/>
      <c r="L673" s="78"/>
    </row>
    <row r="674" spans="1:12" ht="14.25" customHeight="1" x14ac:dyDescent="0.2">
      <c r="A674" s="1458" t="s">
        <v>105</v>
      </c>
      <c r="B674" s="1458"/>
      <c r="C674" s="1458"/>
      <c r="D674" s="1458"/>
      <c r="E674" s="1458"/>
      <c r="F674" s="819"/>
      <c r="G674" s="819"/>
      <c r="H674" s="819"/>
      <c r="I674" s="78"/>
      <c r="J674" s="78"/>
      <c r="K674" s="78"/>
      <c r="L674" s="78"/>
    </row>
    <row r="675" spans="1:12" ht="14.25" customHeight="1" x14ac:dyDescent="0.2">
      <c r="A675" s="823"/>
      <c r="B675" s="823"/>
      <c r="C675" s="823"/>
      <c r="D675" s="823"/>
      <c r="E675" s="820" t="s">
        <v>302</v>
      </c>
      <c r="F675" s="819">
        <f>F679+F683+F686+F690+F693+F697+F700+F704+F707+F711+F714+F718+F721+F725+F728+F732+F735+F739+F742</f>
        <v>8712200</v>
      </c>
      <c r="G675" s="819"/>
      <c r="H675" s="819">
        <f>F675</f>
        <v>8712200</v>
      </c>
      <c r="I675" s="78"/>
      <c r="J675" s="78"/>
      <c r="K675" s="78"/>
      <c r="L675" s="78"/>
    </row>
    <row r="676" spans="1:12" ht="14.25" customHeight="1" x14ac:dyDescent="0.2">
      <c r="A676" s="823"/>
      <c r="B676" s="823"/>
      <c r="C676" s="823"/>
      <c r="D676" s="823"/>
      <c r="E676" s="820" t="s">
        <v>303</v>
      </c>
      <c r="F676" s="819">
        <f t="shared" ref="F676:F677" si="118">F680+F684+F687+F691+F694+F698+F701+F705+F708+F712+F715+F719+F722+F726+F729+F733+F736+F740+F743</f>
        <v>9408495</v>
      </c>
      <c r="G676" s="819"/>
      <c r="H676" s="819">
        <f t="shared" ref="H676:H743" si="119">F676</f>
        <v>9408495</v>
      </c>
      <c r="I676" s="78"/>
      <c r="J676" s="78"/>
      <c r="K676" s="78"/>
      <c r="L676" s="78"/>
    </row>
    <row r="677" spans="1:12" ht="14.25" customHeight="1" x14ac:dyDescent="0.2">
      <c r="A677" s="823"/>
      <c r="B677" s="823"/>
      <c r="C677" s="823"/>
      <c r="D677" s="823"/>
      <c r="E677" s="820" t="s">
        <v>304</v>
      </c>
      <c r="F677" s="819">
        <f t="shared" si="118"/>
        <v>12961557</v>
      </c>
      <c r="G677" s="819"/>
      <c r="H677" s="819">
        <f>F677</f>
        <v>12961557</v>
      </c>
      <c r="I677" s="78"/>
      <c r="J677" s="78"/>
      <c r="K677" s="78"/>
      <c r="L677" s="78"/>
    </row>
    <row r="678" spans="1:12" ht="12.75" customHeight="1" x14ac:dyDescent="0.2">
      <c r="A678" s="1340">
        <v>1</v>
      </c>
      <c r="B678" s="1341"/>
      <c r="C678" s="1350" t="s">
        <v>141</v>
      </c>
      <c r="D678" s="1350" t="s">
        <v>54</v>
      </c>
      <c r="E678" s="796" t="s">
        <v>157</v>
      </c>
      <c r="F678" s="792"/>
      <c r="G678" s="800"/>
      <c r="H678" s="793"/>
      <c r="I678" s="78"/>
      <c r="J678" s="78"/>
      <c r="K678" s="78"/>
      <c r="L678" s="78"/>
    </row>
    <row r="679" spans="1:12" ht="12.75" customHeight="1" x14ac:dyDescent="0.2">
      <c r="A679" s="1342"/>
      <c r="B679" s="1343"/>
      <c r="C679" s="1351"/>
      <c r="D679" s="1351"/>
      <c r="E679" s="795" t="s">
        <v>302</v>
      </c>
      <c r="F679" s="792">
        <v>0</v>
      </c>
      <c r="G679" s="800"/>
      <c r="H679" s="793">
        <f t="shared" si="119"/>
        <v>0</v>
      </c>
      <c r="I679" s="78"/>
      <c r="J679" s="78"/>
      <c r="K679" s="78"/>
      <c r="L679" s="78"/>
    </row>
    <row r="680" spans="1:12" ht="12.75" customHeight="1" x14ac:dyDescent="0.2">
      <c r="A680" s="1342"/>
      <c r="B680" s="1343"/>
      <c r="C680" s="1351"/>
      <c r="D680" s="1351"/>
      <c r="E680" s="795" t="s">
        <v>303</v>
      </c>
      <c r="F680" s="792">
        <v>0</v>
      </c>
      <c r="G680" s="800"/>
      <c r="H680" s="793">
        <f t="shared" si="119"/>
        <v>0</v>
      </c>
      <c r="I680" s="78"/>
      <c r="J680" s="78"/>
      <c r="K680" s="78"/>
      <c r="L680" s="78"/>
    </row>
    <row r="681" spans="1:12" ht="12.75" customHeight="1" x14ac:dyDescent="0.2">
      <c r="A681" s="1344"/>
      <c r="B681" s="1345"/>
      <c r="C681" s="1352"/>
      <c r="D681" s="1352"/>
      <c r="E681" s="795" t="s">
        <v>304</v>
      </c>
      <c r="F681" s="792">
        <v>0</v>
      </c>
      <c r="G681" s="800"/>
      <c r="H681" s="793">
        <f t="shared" si="119"/>
        <v>0</v>
      </c>
      <c r="I681" s="78"/>
      <c r="J681" s="78"/>
      <c r="K681" s="78"/>
      <c r="L681" s="78"/>
    </row>
    <row r="682" spans="1:12" ht="12.75" customHeight="1" x14ac:dyDescent="0.2">
      <c r="A682" s="1340">
        <v>2</v>
      </c>
      <c r="B682" s="1341"/>
      <c r="C682" s="1346" t="s">
        <v>109</v>
      </c>
      <c r="D682" s="798"/>
      <c r="E682" s="797" t="s">
        <v>156</v>
      </c>
      <c r="F682" s="792"/>
      <c r="G682" s="800"/>
      <c r="H682" s="793"/>
      <c r="I682" s="78"/>
      <c r="J682" s="78"/>
      <c r="K682" s="78"/>
      <c r="L682" s="78"/>
    </row>
    <row r="683" spans="1:12" ht="12.75" customHeight="1" x14ac:dyDescent="0.2">
      <c r="A683" s="1342"/>
      <c r="B683" s="1343"/>
      <c r="C683" s="1347"/>
      <c r="D683" s="1346" t="s">
        <v>55</v>
      </c>
      <c r="E683" s="795" t="s">
        <v>302</v>
      </c>
      <c r="F683" s="801"/>
      <c r="G683" s="800"/>
      <c r="H683" s="793"/>
      <c r="I683" s="78"/>
      <c r="J683" s="78"/>
      <c r="K683" s="78"/>
      <c r="L683" s="78"/>
    </row>
    <row r="684" spans="1:12" ht="12.75" customHeight="1" x14ac:dyDescent="0.2">
      <c r="A684" s="1342"/>
      <c r="B684" s="1343"/>
      <c r="C684" s="1347"/>
      <c r="D684" s="1347"/>
      <c r="E684" s="795" t="s">
        <v>303</v>
      </c>
      <c r="F684" s="801"/>
      <c r="G684" s="800"/>
      <c r="H684" s="793"/>
      <c r="I684" s="78"/>
      <c r="J684" s="78"/>
      <c r="K684" s="78"/>
      <c r="L684" s="78"/>
    </row>
    <row r="685" spans="1:12" ht="12.75" customHeight="1" x14ac:dyDescent="0.2">
      <c r="A685" s="1342"/>
      <c r="B685" s="1343"/>
      <c r="C685" s="1347"/>
      <c r="D685" s="1348"/>
      <c r="E685" s="795" t="s">
        <v>304</v>
      </c>
      <c r="F685" s="801"/>
      <c r="G685" s="800"/>
      <c r="H685" s="793"/>
      <c r="I685" s="78"/>
      <c r="J685" s="78"/>
      <c r="K685" s="78"/>
      <c r="L685" s="78"/>
    </row>
    <row r="686" spans="1:12" ht="12.75" customHeight="1" x14ac:dyDescent="0.2">
      <c r="A686" s="1342"/>
      <c r="B686" s="1343"/>
      <c r="C686" s="1347"/>
      <c r="D686" s="1346" t="s">
        <v>54</v>
      </c>
      <c r="E686" s="795" t="s">
        <v>302</v>
      </c>
      <c r="F686" s="792">
        <v>700000</v>
      </c>
      <c r="G686" s="800"/>
      <c r="H686" s="793">
        <f>F686</f>
        <v>700000</v>
      </c>
      <c r="I686" s="78"/>
      <c r="J686" s="78"/>
      <c r="K686" s="78"/>
      <c r="L686" s="78"/>
    </row>
    <row r="687" spans="1:12" ht="12.75" customHeight="1" x14ac:dyDescent="0.2">
      <c r="A687" s="1342"/>
      <c r="B687" s="1343"/>
      <c r="C687" s="1347"/>
      <c r="D687" s="1347"/>
      <c r="E687" s="795" t="s">
        <v>303</v>
      </c>
      <c r="F687" s="792">
        <v>5000000</v>
      </c>
      <c r="G687" s="800"/>
      <c r="H687" s="793">
        <f>F687</f>
        <v>5000000</v>
      </c>
      <c r="I687" s="78"/>
      <c r="J687" s="78"/>
      <c r="K687" s="78"/>
      <c r="L687" s="78"/>
    </row>
    <row r="688" spans="1:12" ht="12.75" customHeight="1" x14ac:dyDescent="0.2">
      <c r="A688" s="1344"/>
      <c r="B688" s="1345"/>
      <c r="C688" s="1348"/>
      <c r="D688" s="1348"/>
      <c r="E688" s="795" t="s">
        <v>304</v>
      </c>
      <c r="F688" s="792">
        <v>3420450</v>
      </c>
      <c r="G688" s="800"/>
      <c r="H688" s="793">
        <f>F688</f>
        <v>3420450</v>
      </c>
      <c r="I688" s="78"/>
      <c r="J688" s="78"/>
      <c r="K688" s="78"/>
      <c r="L688" s="78"/>
    </row>
    <row r="689" spans="1:12" ht="12.75" customHeight="1" x14ac:dyDescent="0.2">
      <c r="A689" s="1340">
        <v>3</v>
      </c>
      <c r="B689" s="1341"/>
      <c r="C689" s="1346" t="s">
        <v>107</v>
      </c>
      <c r="D689" s="812"/>
      <c r="E689" s="797" t="s">
        <v>158</v>
      </c>
      <c r="F689" s="792"/>
      <c r="G689" s="800"/>
      <c r="H689" s="793"/>
      <c r="I689" s="78"/>
      <c r="J689" s="78"/>
      <c r="K689" s="78"/>
      <c r="L689" s="78"/>
    </row>
    <row r="690" spans="1:12" ht="12.75" customHeight="1" x14ac:dyDescent="0.2">
      <c r="A690" s="1342"/>
      <c r="B690" s="1343"/>
      <c r="C690" s="1347"/>
      <c r="D690" s="1347" t="s">
        <v>55</v>
      </c>
      <c r="E690" s="795" t="s">
        <v>302</v>
      </c>
      <c r="F690" s="792">
        <v>0</v>
      </c>
      <c r="G690" s="800"/>
      <c r="H690" s="793">
        <f t="shared" si="119"/>
        <v>0</v>
      </c>
      <c r="I690" s="78"/>
      <c r="J690" s="78"/>
      <c r="K690" s="78"/>
      <c r="L690" s="78"/>
    </row>
    <row r="691" spans="1:12" ht="12.75" customHeight="1" x14ac:dyDescent="0.2">
      <c r="A691" s="1342"/>
      <c r="B691" s="1343"/>
      <c r="C691" s="1347"/>
      <c r="D691" s="1347"/>
      <c r="E691" s="795" t="s">
        <v>303</v>
      </c>
      <c r="F691" s="792">
        <v>0</v>
      </c>
      <c r="G691" s="800"/>
      <c r="H691" s="793">
        <f t="shared" si="119"/>
        <v>0</v>
      </c>
      <c r="I691" s="78"/>
      <c r="J691" s="78"/>
      <c r="K691" s="78"/>
      <c r="L691" s="78"/>
    </row>
    <row r="692" spans="1:12" ht="12.75" customHeight="1" x14ac:dyDescent="0.2">
      <c r="A692" s="1342"/>
      <c r="B692" s="1343"/>
      <c r="C692" s="1347"/>
      <c r="D692" s="1348"/>
      <c r="E692" s="795" t="s">
        <v>304</v>
      </c>
      <c r="F692" s="792">
        <v>0</v>
      </c>
      <c r="G692" s="800"/>
      <c r="H692" s="793">
        <f t="shared" si="119"/>
        <v>0</v>
      </c>
      <c r="I692" s="78"/>
      <c r="J692" s="78"/>
      <c r="K692" s="78"/>
      <c r="L692" s="78"/>
    </row>
    <row r="693" spans="1:12" ht="12.75" customHeight="1" x14ac:dyDescent="0.2">
      <c r="A693" s="1342"/>
      <c r="B693" s="1343"/>
      <c r="C693" s="1347"/>
      <c r="D693" s="1346" t="s">
        <v>54</v>
      </c>
      <c r="E693" s="795" t="s">
        <v>302</v>
      </c>
      <c r="F693" s="792">
        <v>0</v>
      </c>
      <c r="G693" s="800"/>
      <c r="H693" s="793">
        <f t="shared" si="119"/>
        <v>0</v>
      </c>
      <c r="I693" s="78"/>
      <c r="J693" s="78"/>
      <c r="K693" s="78"/>
      <c r="L693" s="78"/>
    </row>
    <row r="694" spans="1:12" ht="12.75" customHeight="1" x14ac:dyDescent="0.2">
      <c r="A694" s="1342"/>
      <c r="B694" s="1343"/>
      <c r="C694" s="1347"/>
      <c r="D694" s="1347"/>
      <c r="E694" s="795" t="s">
        <v>303</v>
      </c>
      <c r="F694" s="792">
        <v>700000</v>
      </c>
      <c r="G694" s="800"/>
      <c r="H694" s="793">
        <f t="shared" si="119"/>
        <v>700000</v>
      </c>
      <c r="I694" s="78"/>
      <c r="J694" s="78"/>
      <c r="K694" s="78"/>
      <c r="L694" s="78"/>
    </row>
    <row r="695" spans="1:12" ht="12.75" customHeight="1" x14ac:dyDescent="0.2">
      <c r="A695" s="1344"/>
      <c r="B695" s="1345"/>
      <c r="C695" s="1348"/>
      <c r="D695" s="1348"/>
      <c r="E695" s="795" t="s">
        <v>304</v>
      </c>
      <c r="F695" s="792">
        <v>2538318</v>
      </c>
      <c r="G695" s="800"/>
      <c r="H695" s="793">
        <f t="shared" si="119"/>
        <v>2538318</v>
      </c>
      <c r="I695" s="78"/>
      <c r="J695" s="78"/>
      <c r="K695" s="78"/>
      <c r="L695" s="78"/>
    </row>
    <row r="696" spans="1:12" ht="14.25" customHeight="1" x14ac:dyDescent="0.2">
      <c r="A696" s="1340">
        <v>4</v>
      </c>
      <c r="B696" s="1341"/>
      <c r="C696" s="1346" t="s">
        <v>106</v>
      </c>
      <c r="D696" s="798"/>
      <c r="E696" s="797" t="s">
        <v>160</v>
      </c>
      <c r="F696" s="792"/>
      <c r="G696" s="800"/>
      <c r="H696" s="793"/>
      <c r="I696" s="83"/>
      <c r="J696" s="78"/>
      <c r="K696" s="78"/>
      <c r="L696" s="78"/>
    </row>
    <row r="697" spans="1:12" ht="14.25" customHeight="1" x14ac:dyDescent="0.2">
      <c r="A697" s="1342"/>
      <c r="B697" s="1343"/>
      <c r="C697" s="1347"/>
      <c r="D697" s="1346" t="s">
        <v>55</v>
      </c>
      <c r="E697" s="795" t="s">
        <v>302</v>
      </c>
      <c r="F697" s="792">
        <v>0</v>
      </c>
      <c r="G697" s="800"/>
      <c r="H697" s="793">
        <f>F697</f>
        <v>0</v>
      </c>
      <c r="I697" s="78"/>
      <c r="J697" s="78"/>
      <c r="K697" s="78"/>
      <c r="L697" s="78"/>
    </row>
    <row r="698" spans="1:12" ht="14.25" customHeight="1" x14ac:dyDescent="0.2">
      <c r="A698" s="1342"/>
      <c r="B698" s="1343"/>
      <c r="C698" s="1347"/>
      <c r="D698" s="1347"/>
      <c r="E698" s="795" t="s">
        <v>303</v>
      </c>
      <c r="F698" s="792">
        <v>0</v>
      </c>
      <c r="G698" s="800"/>
      <c r="H698" s="793">
        <f>F698</f>
        <v>0</v>
      </c>
      <c r="I698" s="78"/>
      <c r="J698" s="78"/>
      <c r="K698" s="78"/>
      <c r="L698" s="78"/>
    </row>
    <row r="699" spans="1:12" ht="14.25" customHeight="1" x14ac:dyDescent="0.2">
      <c r="A699" s="1342"/>
      <c r="B699" s="1343"/>
      <c r="C699" s="1347"/>
      <c r="D699" s="1348"/>
      <c r="E699" s="795" t="s">
        <v>304</v>
      </c>
      <c r="F699" s="792">
        <v>0</v>
      </c>
      <c r="G699" s="800"/>
      <c r="H699" s="793">
        <f>F699</f>
        <v>0</v>
      </c>
      <c r="I699" s="78"/>
      <c r="J699" s="78"/>
      <c r="K699" s="78"/>
      <c r="L699" s="78"/>
    </row>
    <row r="700" spans="1:12" ht="14.25" customHeight="1" x14ac:dyDescent="0.2">
      <c r="A700" s="1342"/>
      <c r="B700" s="1343"/>
      <c r="C700" s="1347"/>
      <c r="D700" s="1346" t="s">
        <v>54</v>
      </c>
      <c r="E700" s="795" t="s">
        <v>302</v>
      </c>
      <c r="F700" s="792">
        <v>5000000</v>
      </c>
      <c r="G700" s="800"/>
      <c r="H700" s="793">
        <f t="shared" si="119"/>
        <v>5000000</v>
      </c>
      <c r="I700" s="78"/>
      <c r="J700" s="78"/>
      <c r="K700" s="78"/>
      <c r="L700" s="78"/>
    </row>
    <row r="701" spans="1:12" ht="14.25" customHeight="1" x14ac:dyDescent="0.2">
      <c r="A701" s="1342"/>
      <c r="B701" s="1343"/>
      <c r="C701" s="1347"/>
      <c r="D701" s="1347"/>
      <c r="E701" s="795" t="s">
        <v>303</v>
      </c>
      <c r="F701" s="792">
        <v>507295</v>
      </c>
      <c r="G701" s="800"/>
      <c r="H701" s="793">
        <f t="shared" si="119"/>
        <v>507295</v>
      </c>
      <c r="I701" s="78"/>
      <c r="J701" s="83"/>
      <c r="K701" s="78"/>
      <c r="L701" s="78"/>
    </row>
    <row r="702" spans="1:12" ht="12.75" customHeight="1" x14ac:dyDescent="0.2">
      <c r="A702" s="1344"/>
      <c r="B702" s="1345"/>
      <c r="C702" s="1348"/>
      <c r="D702" s="1348"/>
      <c r="E702" s="795" t="s">
        <v>304</v>
      </c>
      <c r="F702" s="792">
        <v>0</v>
      </c>
      <c r="G702" s="800"/>
      <c r="H702" s="793">
        <f t="shared" si="119"/>
        <v>0</v>
      </c>
      <c r="I702" s="78"/>
      <c r="J702" s="78"/>
      <c r="K702" s="78"/>
      <c r="L702" s="78"/>
    </row>
    <row r="703" spans="1:12" ht="11.25" customHeight="1" x14ac:dyDescent="0.2">
      <c r="A703" s="1340">
        <v>5</v>
      </c>
      <c r="B703" s="1341"/>
      <c r="C703" s="1346" t="s">
        <v>174</v>
      </c>
      <c r="D703" s="798"/>
      <c r="E703" s="797" t="s">
        <v>172</v>
      </c>
      <c r="F703" s="792"/>
      <c r="G703" s="800"/>
      <c r="H703" s="793"/>
      <c r="I703" s="78"/>
      <c r="J703" s="78"/>
      <c r="K703" s="78"/>
      <c r="L703" s="78"/>
    </row>
    <row r="704" spans="1:12" ht="12.75" customHeight="1" x14ac:dyDescent="0.2">
      <c r="A704" s="1342"/>
      <c r="B704" s="1343"/>
      <c r="C704" s="1347"/>
      <c r="D704" s="1346" t="s">
        <v>55</v>
      </c>
      <c r="E704" s="795" t="s">
        <v>302</v>
      </c>
      <c r="F704" s="792">
        <v>0</v>
      </c>
      <c r="G704" s="800"/>
      <c r="H704" s="793">
        <f t="shared" si="119"/>
        <v>0</v>
      </c>
      <c r="I704" s="78"/>
      <c r="J704" s="78"/>
      <c r="K704" s="78"/>
      <c r="L704" s="78"/>
    </row>
    <row r="705" spans="1:12" ht="12.75" customHeight="1" x14ac:dyDescent="0.2">
      <c r="A705" s="1342"/>
      <c r="B705" s="1343"/>
      <c r="C705" s="1347"/>
      <c r="D705" s="1347"/>
      <c r="E705" s="795" t="s">
        <v>303</v>
      </c>
      <c r="F705" s="792">
        <v>0</v>
      </c>
      <c r="G705" s="800"/>
      <c r="H705" s="793">
        <f t="shared" si="119"/>
        <v>0</v>
      </c>
      <c r="I705" s="78"/>
      <c r="J705" s="83"/>
      <c r="K705" s="78"/>
      <c r="L705" s="78"/>
    </row>
    <row r="706" spans="1:12" ht="12.75" customHeight="1" x14ac:dyDescent="0.2">
      <c r="A706" s="1342"/>
      <c r="B706" s="1343"/>
      <c r="C706" s="1347"/>
      <c r="D706" s="1348"/>
      <c r="E706" s="795" t="s">
        <v>304</v>
      </c>
      <c r="F706" s="792">
        <v>0</v>
      </c>
      <c r="G706" s="800"/>
      <c r="H706" s="793">
        <f t="shared" si="119"/>
        <v>0</v>
      </c>
      <c r="I706" s="78"/>
      <c r="J706" s="78"/>
      <c r="K706" s="78"/>
      <c r="L706" s="78"/>
    </row>
    <row r="707" spans="1:12" ht="14.25" customHeight="1" x14ac:dyDescent="0.2">
      <c r="A707" s="1342"/>
      <c r="B707" s="1343"/>
      <c r="C707" s="1347"/>
      <c r="D707" s="1346" t="s">
        <v>54</v>
      </c>
      <c r="E707" s="795" t="s">
        <v>302</v>
      </c>
      <c r="F707" s="792">
        <v>500000</v>
      </c>
      <c r="G707" s="800"/>
      <c r="H707" s="793">
        <f>F707</f>
        <v>500000</v>
      </c>
      <c r="I707" s="78"/>
      <c r="J707" s="78"/>
      <c r="K707" s="78"/>
      <c r="L707" s="78"/>
    </row>
    <row r="708" spans="1:12" ht="16.5" customHeight="1" x14ac:dyDescent="0.2">
      <c r="A708" s="1342"/>
      <c r="B708" s="1343"/>
      <c r="C708" s="1347"/>
      <c r="D708" s="1347"/>
      <c r="E708" s="795" t="s">
        <v>303</v>
      </c>
      <c r="F708" s="792">
        <v>500000</v>
      </c>
      <c r="G708" s="800"/>
      <c r="H708" s="793">
        <f>F708</f>
        <v>500000</v>
      </c>
      <c r="I708" s="78"/>
      <c r="J708" s="78"/>
      <c r="K708" s="78"/>
      <c r="L708" s="78"/>
    </row>
    <row r="709" spans="1:12" s="32" customFormat="1" ht="14.25" customHeight="1" x14ac:dyDescent="0.2">
      <c r="A709" s="1344"/>
      <c r="B709" s="1345"/>
      <c r="C709" s="1348"/>
      <c r="D709" s="1348"/>
      <c r="E709" s="795" t="s">
        <v>304</v>
      </c>
      <c r="F709" s="792">
        <v>423611</v>
      </c>
      <c r="G709" s="800"/>
      <c r="H709" s="793">
        <f>F709</f>
        <v>423611</v>
      </c>
      <c r="I709" s="84"/>
      <c r="J709" s="84"/>
      <c r="K709" s="81"/>
      <c r="L709" s="84"/>
    </row>
    <row r="710" spans="1:12" s="32" customFormat="1" ht="14.25" customHeight="1" x14ac:dyDescent="0.2">
      <c r="A710" s="1340">
        <v>6</v>
      </c>
      <c r="B710" s="1341"/>
      <c r="C710" s="1346" t="s">
        <v>171</v>
      </c>
      <c r="D710" s="812"/>
      <c r="E710" s="797" t="s">
        <v>173</v>
      </c>
      <c r="F710" s="792"/>
      <c r="G710" s="800"/>
      <c r="H710" s="793"/>
      <c r="I710" s="129"/>
      <c r="J710" s="84"/>
      <c r="K710" s="81"/>
      <c r="L710" s="84"/>
    </row>
    <row r="711" spans="1:12" s="32" customFormat="1" ht="14.25" customHeight="1" x14ac:dyDescent="0.2">
      <c r="A711" s="1342"/>
      <c r="B711" s="1343"/>
      <c r="C711" s="1347"/>
      <c r="D711" s="1347" t="s">
        <v>55</v>
      </c>
      <c r="E711" s="795" t="s">
        <v>302</v>
      </c>
      <c r="F711" s="792">
        <v>0</v>
      </c>
      <c r="G711" s="800"/>
      <c r="H711" s="793">
        <f t="shared" si="119"/>
        <v>0</v>
      </c>
      <c r="I711" s="147"/>
      <c r="J711" s="129"/>
      <c r="K711" s="81"/>
      <c r="L711" s="84"/>
    </row>
    <row r="712" spans="1:12" ht="14.25" customHeight="1" x14ac:dyDescent="0.2">
      <c r="A712" s="1342"/>
      <c r="B712" s="1343"/>
      <c r="C712" s="1347"/>
      <c r="D712" s="1347"/>
      <c r="E712" s="795" t="s">
        <v>303</v>
      </c>
      <c r="F712" s="792">
        <v>0</v>
      </c>
      <c r="G712" s="800"/>
      <c r="H712" s="793">
        <f t="shared" si="119"/>
        <v>0</v>
      </c>
      <c r="I712" s="78"/>
      <c r="J712" s="78"/>
      <c r="K712" s="78"/>
      <c r="L712" s="78"/>
    </row>
    <row r="713" spans="1:12" ht="14.25" customHeight="1" x14ac:dyDescent="0.2">
      <c r="A713" s="1342"/>
      <c r="B713" s="1343"/>
      <c r="C713" s="1347"/>
      <c r="D713" s="1347"/>
      <c r="E713" s="795" t="s">
        <v>304</v>
      </c>
      <c r="F713" s="792">
        <v>0</v>
      </c>
      <c r="G713" s="800"/>
      <c r="H713" s="793">
        <f t="shared" si="119"/>
        <v>0</v>
      </c>
      <c r="I713" s="78"/>
      <c r="J713" s="78"/>
      <c r="K713" s="78"/>
      <c r="L713" s="78"/>
    </row>
    <row r="714" spans="1:12" ht="14.25" customHeight="1" x14ac:dyDescent="0.2">
      <c r="A714" s="1342"/>
      <c r="B714" s="1343"/>
      <c r="C714" s="1347"/>
      <c r="D714" s="1347" t="s">
        <v>54</v>
      </c>
      <c r="E714" s="795" t="s">
        <v>302</v>
      </c>
      <c r="F714" s="792">
        <v>1852200</v>
      </c>
      <c r="G714" s="800"/>
      <c r="H714" s="793">
        <f t="shared" si="119"/>
        <v>1852200</v>
      </c>
      <c r="I714" s="78"/>
      <c r="J714" s="78"/>
      <c r="K714" s="78"/>
      <c r="L714" s="78"/>
    </row>
    <row r="715" spans="1:12" ht="14.25" customHeight="1" x14ac:dyDescent="0.2">
      <c r="A715" s="1342"/>
      <c r="B715" s="1343"/>
      <c r="C715" s="1347"/>
      <c r="D715" s="1347"/>
      <c r="E715" s="795" t="s">
        <v>303</v>
      </c>
      <c r="F715" s="792">
        <v>2041200</v>
      </c>
      <c r="G715" s="800"/>
      <c r="H715" s="793">
        <f t="shared" si="119"/>
        <v>2041200</v>
      </c>
      <c r="I715" s="78"/>
      <c r="J715" s="78"/>
      <c r="K715" s="78"/>
      <c r="L715" s="78"/>
    </row>
    <row r="716" spans="1:12" ht="15" customHeight="1" x14ac:dyDescent="0.2">
      <c r="A716" s="1344"/>
      <c r="B716" s="1345"/>
      <c r="C716" s="1348"/>
      <c r="D716" s="1348"/>
      <c r="E716" s="795" t="s">
        <v>304</v>
      </c>
      <c r="F716" s="792">
        <v>1030171</v>
      </c>
      <c r="G716" s="800"/>
      <c r="H716" s="793">
        <f t="shared" si="119"/>
        <v>1030171</v>
      </c>
      <c r="I716" s="78"/>
      <c r="J716" s="78"/>
      <c r="K716" s="78"/>
      <c r="L716" s="78"/>
    </row>
    <row r="717" spans="1:12" ht="16.5" customHeight="1" x14ac:dyDescent="0.2">
      <c r="A717" s="1340">
        <v>7</v>
      </c>
      <c r="B717" s="1341"/>
      <c r="C717" s="1346" t="s">
        <v>170</v>
      </c>
      <c r="D717" s="798"/>
      <c r="E717" s="797" t="s">
        <v>645</v>
      </c>
      <c r="F717" s="792"/>
      <c r="G717" s="800"/>
      <c r="H717" s="793"/>
      <c r="I717" s="78"/>
      <c r="J717" s="78"/>
      <c r="K717" s="78"/>
      <c r="L717" s="78"/>
    </row>
    <row r="718" spans="1:12" ht="12.75" customHeight="1" x14ac:dyDescent="0.2">
      <c r="A718" s="1342"/>
      <c r="B718" s="1343"/>
      <c r="C718" s="1347"/>
      <c r="D718" s="1346" t="s">
        <v>55</v>
      </c>
      <c r="E718" s="795" t="s">
        <v>302</v>
      </c>
      <c r="F718" s="792">
        <v>0</v>
      </c>
      <c r="G718" s="800"/>
      <c r="H718" s="793">
        <f t="shared" si="119"/>
        <v>0</v>
      </c>
      <c r="I718" s="78"/>
      <c r="J718" s="78"/>
      <c r="K718" s="78"/>
      <c r="L718" s="78"/>
    </row>
    <row r="719" spans="1:12" ht="12.75" customHeight="1" x14ac:dyDescent="0.2">
      <c r="A719" s="1342"/>
      <c r="B719" s="1343"/>
      <c r="C719" s="1347"/>
      <c r="D719" s="1347"/>
      <c r="E719" s="795" t="s">
        <v>303</v>
      </c>
      <c r="F719" s="792">
        <v>0</v>
      </c>
      <c r="G719" s="800"/>
      <c r="H719" s="793">
        <f t="shared" si="119"/>
        <v>0</v>
      </c>
      <c r="I719" s="78"/>
      <c r="J719" s="78"/>
      <c r="K719" s="78"/>
      <c r="L719" s="78"/>
    </row>
    <row r="720" spans="1:12" s="10" customFormat="1" ht="12.75" customHeight="1" x14ac:dyDescent="0.2">
      <c r="A720" s="1342"/>
      <c r="B720" s="1343"/>
      <c r="C720" s="1347"/>
      <c r="D720" s="1348"/>
      <c r="E720" s="795" t="s">
        <v>304</v>
      </c>
      <c r="F720" s="792">
        <v>0</v>
      </c>
      <c r="G720" s="800"/>
      <c r="H720" s="793">
        <f t="shared" si="119"/>
        <v>0</v>
      </c>
      <c r="I720" s="81"/>
      <c r="J720" s="81"/>
      <c r="K720" s="81"/>
      <c r="L720" s="81"/>
    </row>
    <row r="721" spans="1:12" ht="12.75" customHeight="1" x14ac:dyDescent="0.2">
      <c r="A721" s="1342"/>
      <c r="B721" s="1343"/>
      <c r="C721" s="1347"/>
      <c r="D721" s="1346" t="s">
        <v>54</v>
      </c>
      <c r="E721" s="795" t="s">
        <v>302</v>
      </c>
      <c r="F721" s="792">
        <v>0</v>
      </c>
      <c r="G721" s="800"/>
      <c r="H721" s="793">
        <f t="shared" si="119"/>
        <v>0</v>
      </c>
      <c r="I721" s="78"/>
      <c r="J721" s="78"/>
      <c r="K721" s="78"/>
      <c r="L721" s="78"/>
    </row>
    <row r="722" spans="1:12" s="10" customFormat="1" ht="12.75" customHeight="1" x14ac:dyDescent="0.2">
      <c r="A722" s="1342"/>
      <c r="B722" s="1343"/>
      <c r="C722" s="1347"/>
      <c r="D722" s="1347"/>
      <c r="E722" s="795" t="s">
        <v>303</v>
      </c>
      <c r="F722" s="792">
        <v>0</v>
      </c>
      <c r="G722" s="800"/>
      <c r="H722" s="793">
        <f t="shared" si="119"/>
        <v>0</v>
      </c>
      <c r="I722" s="81"/>
      <c r="J722" s="81"/>
      <c r="K722" s="81"/>
      <c r="L722" s="81"/>
    </row>
    <row r="723" spans="1:12" ht="15.75" customHeight="1" x14ac:dyDescent="0.2">
      <c r="A723" s="1344"/>
      <c r="B723" s="1345"/>
      <c r="C723" s="1348"/>
      <c r="D723" s="1348"/>
      <c r="E723" s="795" t="s">
        <v>304</v>
      </c>
      <c r="F723" s="792">
        <v>0</v>
      </c>
      <c r="G723" s="800"/>
      <c r="H723" s="793">
        <f>F723</f>
        <v>0</v>
      </c>
      <c r="I723" s="78"/>
      <c r="J723" s="78"/>
      <c r="K723" s="78"/>
      <c r="L723" s="78"/>
    </row>
    <row r="724" spans="1:12" ht="17.25" customHeight="1" x14ac:dyDescent="0.2">
      <c r="A724" s="1340">
        <v>8</v>
      </c>
      <c r="B724" s="1341"/>
      <c r="C724" s="1346" t="s">
        <v>108</v>
      </c>
      <c r="D724" s="798"/>
      <c r="E724" s="797" t="s">
        <v>155</v>
      </c>
      <c r="F724" s="792"/>
      <c r="G724" s="800"/>
      <c r="H724" s="793"/>
      <c r="I724" s="78"/>
      <c r="J724" s="78"/>
      <c r="K724" s="78"/>
      <c r="L724" s="78"/>
    </row>
    <row r="725" spans="1:12" ht="12" customHeight="1" x14ac:dyDescent="0.2">
      <c r="A725" s="1342"/>
      <c r="B725" s="1343"/>
      <c r="C725" s="1347"/>
      <c r="D725" s="1346" t="s">
        <v>55</v>
      </c>
      <c r="E725" s="795" t="s">
        <v>302</v>
      </c>
      <c r="F725" s="802"/>
      <c r="G725" s="800"/>
      <c r="H725" s="793"/>
      <c r="I725" s="78"/>
      <c r="J725" s="78"/>
      <c r="K725" s="78"/>
      <c r="L725" s="78"/>
    </row>
    <row r="726" spans="1:12" ht="12" customHeight="1" x14ac:dyDescent="0.2">
      <c r="A726" s="1342"/>
      <c r="B726" s="1343"/>
      <c r="C726" s="1347"/>
      <c r="D726" s="1347"/>
      <c r="E726" s="795" t="s">
        <v>303</v>
      </c>
      <c r="F726" s="802"/>
      <c r="G726" s="800"/>
      <c r="H726" s="793"/>
      <c r="I726" s="78"/>
      <c r="J726" s="78"/>
      <c r="K726" s="78"/>
      <c r="L726" s="78"/>
    </row>
    <row r="727" spans="1:12" ht="12" customHeight="1" x14ac:dyDescent="0.2">
      <c r="A727" s="1342"/>
      <c r="B727" s="1343"/>
      <c r="C727" s="1347"/>
      <c r="D727" s="1348"/>
      <c r="E727" s="795" t="s">
        <v>304</v>
      </c>
      <c r="F727" s="802"/>
      <c r="G727" s="800"/>
      <c r="H727" s="793"/>
      <c r="I727" s="78"/>
      <c r="J727" s="78"/>
      <c r="K727" s="78"/>
      <c r="L727" s="78"/>
    </row>
    <row r="728" spans="1:12" ht="15.75" customHeight="1" x14ac:dyDescent="0.2">
      <c r="A728" s="1342"/>
      <c r="B728" s="1343"/>
      <c r="C728" s="1347"/>
      <c r="D728" s="1346" t="s">
        <v>54</v>
      </c>
      <c r="E728" s="795" t="s">
        <v>302</v>
      </c>
      <c r="F728" s="792">
        <v>100000</v>
      </c>
      <c r="G728" s="800"/>
      <c r="H728" s="793">
        <f>F728</f>
        <v>100000</v>
      </c>
      <c r="I728" s="78"/>
      <c r="J728" s="78"/>
      <c r="K728" s="78"/>
      <c r="L728" s="78"/>
    </row>
    <row r="729" spans="1:12" ht="16.5" customHeight="1" x14ac:dyDescent="0.2">
      <c r="A729" s="1342"/>
      <c r="B729" s="1343"/>
      <c r="C729" s="1347"/>
      <c r="D729" s="1347"/>
      <c r="E729" s="795" t="s">
        <v>303</v>
      </c>
      <c r="F729" s="792">
        <v>100000</v>
      </c>
      <c r="G729" s="800"/>
      <c r="H729" s="793">
        <f>F729</f>
        <v>100000</v>
      </c>
      <c r="I729" s="78"/>
      <c r="J729" s="78"/>
      <c r="K729" s="78"/>
      <c r="L729" s="78"/>
    </row>
    <row r="730" spans="1:12" ht="14.25" customHeight="1" x14ac:dyDescent="0.2">
      <c r="A730" s="1344"/>
      <c r="B730" s="1345"/>
      <c r="C730" s="1348"/>
      <c r="D730" s="1348"/>
      <c r="E730" s="795" t="s">
        <v>304</v>
      </c>
      <c r="F730" s="792">
        <v>470190</v>
      </c>
      <c r="G730" s="800"/>
      <c r="H730" s="793">
        <f>F730</f>
        <v>470190</v>
      </c>
      <c r="I730" s="78"/>
      <c r="J730" s="78"/>
      <c r="K730" s="78"/>
      <c r="L730" s="78"/>
    </row>
    <row r="731" spans="1:12" s="27" customFormat="1" ht="13.5" customHeight="1" x14ac:dyDescent="0.2">
      <c r="A731" s="1340">
        <v>9</v>
      </c>
      <c r="B731" s="1341"/>
      <c r="C731" s="1346" t="s">
        <v>650</v>
      </c>
      <c r="D731" s="798"/>
      <c r="E731" s="797" t="s">
        <v>651</v>
      </c>
      <c r="F731" s="792"/>
      <c r="G731" s="800"/>
      <c r="H731" s="793"/>
      <c r="I731" s="80"/>
      <c r="J731" s="80"/>
      <c r="K731" s="80"/>
      <c r="L731" s="80"/>
    </row>
    <row r="732" spans="1:12" s="27" customFormat="1" ht="13.5" customHeight="1" x14ac:dyDescent="0.2">
      <c r="A732" s="1342"/>
      <c r="B732" s="1343"/>
      <c r="C732" s="1347"/>
      <c r="D732" s="1346" t="s">
        <v>55</v>
      </c>
      <c r="E732" s="795" t="s">
        <v>302</v>
      </c>
      <c r="F732" s="792">
        <v>0</v>
      </c>
      <c r="G732" s="800"/>
      <c r="H732" s="793">
        <f t="shared" si="119"/>
        <v>0</v>
      </c>
      <c r="I732" s="80"/>
      <c r="J732" s="80"/>
      <c r="K732" s="80"/>
      <c r="L732" s="80"/>
    </row>
    <row r="733" spans="1:12" s="27" customFormat="1" ht="12.75" customHeight="1" x14ac:dyDescent="0.2">
      <c r="A733" s="1342"/>
      <c r="B733" s="1343"/>
      <c r="C733" s="1347"/>
      <c r="D733" s="1347"/>
      <c r="E733" s="795" t="s">
        <v>303</v>
      </c>
      <c r="F733" s="792">
        <v>0</v>
      </c>
      <c r="G733" s="800"/>
      <c r="H733" s="793">
        <f t="shared" si="119"/>
        <v>0</v>
      </c>
      <c r="I733" s="80"/>
      <c r="J733" s="80"/>
      <c r="K733" s="80"/>
      <c r="L733" s="80"/>
    </row>
    <row r="734" spans="1:12" ht="12" customHeight="1" x14ac:dyDescent="0.2">
      <c r="A734" s="1342"/>
      <c r="B734" s="1343"/>
      <c r="C734" s="1347"/>
      <c r="D734" s="1348"/>
      <c r="E734" s="795" t="s">
        <v>304</v>
      </c>
      <c r="F734" s="792">
        <v>0</v>
      </c>
      <c r="G734" s="800"/>
      <c r="H734" s="793">
        <f t="shared" si="119"/>
        <v>0</v>
      </c>
    </row>
    <row r="735" spans="1:12" s="37" customFormat="1" ht="14.25" customHeight="1" x14ac:dyDescent="0.2">
      <c r="A735" s="1342"/>
      <c r="B735" s="1343"/>
      <c r="C735" s="1347"/>
      <c r="D735" s="1346" t="s">
        <v>54</v>
      </c>
      <c r="E735" s="795" t="s">
        <v>302</v>
      </c>
      <c r="F735" s="792">
        <v>0</v>
      </c>
      <c r="G735" s="800"/>
      <c r="H735" s="793">
        <f t="shared" si="119"/>
        <v>0</v>
      </c>
      <c r="I735" s="8"/>
    </row>
    <row r="736" spans="1:12" ht="12" customHeight="1" x14ac:dyDescent="0.2">
      <c r="A736" s="1342"/>
      <c r="B736" s="1343"/>
      <c r="C736" s="1347"/>
      <c r="D736" s="1347"/>
      <c r="E736" s="795" t="s">
        <v>303</v>
      </c>
      <c r="F736" s="792">
        <v>0</v>
      </c>
      <c r="G736" s="800"/>
      <c r="H736" s="793">
        <f t="shared" si="119"/>
        <v>0</v>
      </c>
    </row>
    <row r="737" spans="1:9" ht="12" customHeight="1" x14ac:dyDescent="0.2">
      <c r="A737" s="1344"/>
      <c r="B737" s="1345"/>
      <c r="C737" s="1348"/>
      <c r="D737" s="1348"/>
      <c r="E737" s="795" t="s">
        <v>304</v>
      </c>
      <c r="F737" s="792">
        <v>813634</v>
      </c>
      <c r="G737" s="800"/>
      <c r="H737" s="793">
        <f>F737</f>
        <v>813634</v>
      </c>
      <c r="I737" s="40"/>
    </row>
    <row r="738" spans="1:9" ht="12" customHeight="1" x14ac:dyDescent="0.2">
      <c r="A738" s="1340">
        <v>10</v>
      </c>
      <c r="B738" s="1341"/>
      <c r="C738" s="798" t="s">
        <v>284</v>
      </c>
      <c r="D738" s="798"/>
      <c r="E738" s="797" t="s">
        <v>142</v>
      </c>
      <c r="F738" s="792"/>
      <c r="G738" s="800"/>
      <c r="H738" s="793"/>
    </row>
    <row r="739" spans="1:9" ht="12" customHeight="1" x14ac:dyDescent="0.2">
      <c r="A739" s="1342"/>
      <c r="B739" s="1343"/>
      <c r="C739" s="1346"/>
      <c r="D739" s="1346" t="s">
        <v>55</v>
      </c>
      <c r="E739" s="795" t="s">
        <v>302</v>
      </c>
      <c r="F739" s="792">
        <v>0</v>
      </c>
      <c r="G739" s="800"/>
      <c r="H739" s="793">
        <f t="shared" si="119"/>
        <v>0</v>
      </c>
    </row>
    <row r="740" spans="1:9" ht="12" customHeight="1" x14ac:dyDescent="0.2">
      <c r="A740" s="1342"/>
      <c r="B740" s="1343"/>
      <c r="C740" s="1347"/>
      <c r="D740" s="1347"/>
      <c r="E740" s="795" t="s">
        <v>303</v>
      </c>
      <c r="F740" s="792">
        <v>0</v>
      </c>
      <c r="G740" s="800"/>
      <c r="H740" s="793">
        <f t="shared" si="119"/>
        <v>0</v>
      </c>
    </row>
    <row r="741" spans="1:9" ht="12" customHeight="1" x14ac:dyDescent="0.2">
      <c r="A741" s="1342"/>
      <c r="B741" s="1343"/>
      <c r="C741" s="1347"/>
      <c r="D741" s="1348"/>
      <c r="E741" s="795" t="s">
        <v>304</v>
      </c>
      <c r="F741" s="792">
        <v>0</v>
      </c>
      <c r="G741" s="800"/>
      <c r="H741" s="793">
        <f t="shared" si="119"/>
        <v>0</v>
      </c>
    </row>
    <row r="742" spans="1:9" ht="12" customHeight="1" x14ac:dyDescent="0.2">
      <c r="A742" s="1342"/>
      <c r="B742" s="1343"/>
      <c r="C742" s="1347"/>
      <c r="D742" s="1346" t="s">
        <v>54</v>
      </c>
      <c r="E742" s="795" t="s">
        <v>302</v>
      </c>
      <c r="F742" s="792">
        <v>560000</v>
      </c>
      <c r="G742" s="800"/>
      <c r="H742" s="793">
        <f t="shared" si="119"/>
        <v>560000</v>
      </c>
    </row>
    <row r="743" spans="1:9" ht="12" customHeight="1" x14ac:dyDescent="0.2">
      <c r="A743" s="1342"/>
      <c r="B743" s="1343"/>
      <c r="C743" s="1347"/>
      <c r="D743" s="1347"/>
      <c r="E743" s="795" t="s">
        <v>303</v>
      </c>
      <c r="F743" s="792">
        <v>560000</v>
      </c>
      <c r="G743" s="800"/>
      <c r="H743" s="793">
        <f t="shared" si="119"/>
        <v>560000</v>
      </c>
    </row>
    <row r="744" spans="1:9" ht="12" customHeight="1" x14ac:dyDescent="0.2">
      <c r="A744" s="1344"/>
      <c r="B744" s="1345"/>
      <c r="C744" s="1348"/>
      <c r="D744" s="1348"/>
      <c r="E744" s="795" t="s">
        <v>304</v>
      </c>
      <c r="F744" s="792">
        <v>4265183</v>
      </c>
      <c r="G744" s="800"/>
      <c r="H744" s="793">
        <f>F744</f>
        <v>4265183</v>
      </c>
    </row>
    <row r="745" spans="1:9" ht="12" customHeight="1" x14ac:dyDescent="0.2">
      <c r="A745" s="1458" t="s">
        <v>110</v>
      </c>
      <c r="B745" s="1458"/>
      <c r="C745" s="1458"/>
      <c r="D745" s="1458"/>
      <c r="E745" s="1458"/>
      <c r="F745" s="799"/>
      <c r="G745" s="819"/>
      <c r="H745" s="819"/>
    </row>
    <row r="746" spans="1:9" ht="12" customHeight="1" x14ac:dyDescent="0.2">
      <c r="A746" s="1478"/>
      <c r="B746" s="1479"/>
      <c r="C746" s="1479"/>
      <c r="D746" s="1480"/>
      <c r="E746" s="820" t="s">
        <v>302</v>
      </c>
      <c r="F746" s="799"/>
      <c r="G746" s="819">
        <f>G751+G754</f>
        <v>200000</v>
      </c>
      <c r="H746" s="819">
        <f>G746</f>
        <v>200000</v>
      </c>
    </row>
    <row r="747" spans="1:9" ht="12" customHeight="1" x14ac:dyDescent="0.2">
      <c r="A747" s="1481"/>
      <c r="B747" s="1482"/>
      <c r="C747" s="1482"/>
      <c r="D747" s="1483"/>
      <c r="E747" s="820" t="s">
        <v>303</v>
      </c>
      <c r="F747" s="799"/>
      <c r="G747" s="819">
        <f t="shared" ref="G747:G748" si="120">G752+G755</f>
        <v>200000</v>
      </c>
      <c r="H747" s="819">
        <f t="shared" ref="H747:H748" si="121">G747</f>
        <v>200000</v>
      </c>
    </row>
    <row r="748" spans="1:9" ht="12" customHeight="1" x14ac:dyDescent="0.2">
      <c r="A748" s="1484"/>
      <c r="B748" s="1485"/>
      <c r="C748" s="1485"/>
      <c r="D748" s="1486"/>
      <c r="E748" s="820" t="s">
        <v>304</v>
      </c>
      <c r="F748" s="799"/>
      <c r="G748" s="819">
        <f t="shared" si="120"/>
        <v>182371</v>
      </c>
      <c r="H748" s="819">
        <f t="shared" si="121"/>
        <v>182371</v>
      </c>
    </row>
    <row r="749" spans="1:9" ht="12" customHeight="1" x14ac:dyDescent="0.2">
      <c r="A749" s="1419">
        <v>1</v>
      </c>
      <c r="B749" s="1420"/>
      <c r="C749" s="813" t="s">
        <v>646</v>
      </c>
      <c r="D749" s="1475"/>
      <c r="E749" s="1459" t="s">
        <v>182</v>
      </c>
      <c r="F749" s="164"/>
      <c r="G749" s="164"/>
      <c r="H749" s="164"/>
    </row>
    <row r="750" spans="1:9" ht="12" customHeight="1" x14ac:dyDescent="0.2">
      <c r="A750" s="1421"/>
      <c r="B750" s="1422"/>
      <c r="C750" s="814"/>
      <c r="D750" s="1476"/>
      <c r="E750" s="1459"/>
      <c r="F750" s="164"/>
      <c r="G750" s="164"/>
      <c r="H750" s="164"/>
    </row>
    <row r="751" spans="1:9" ht="12" customHeight="1" x14ac:dyDescent="0.2">
      <c r="A751" s="1421"/>
      <c r="B751" s="1422"/>
      <c r="C751" s="815"/>
      <c r="D751" s="1475" t="s">
        <v>54</v>
      </c>
      <c r="E751" s="804" t="s">
        <v>302</v>
      </c>
      <c r="F751" s="164"/>
      <c r="G751" s="721">
        <v>0</v>
      </c>
      <c r="H751" s="164">
        <f t="shared" ref="H751:H756" si="122">G751</f>
        <v>0</v>
      </c>
    </row>
    <row r="752" spans="1:9" ht="12" customHeight="1" x14ac:dyDescent="0.2">
      <c r="A752" s="1421"/>
      <c r="B752" s="1422"/>
      <c r="C752" s="815"/>
      <c r="D752" s="1477"/>
      <c r="E752" s="804" t="s">
        <v>303</v>
      </c>
      <c r="F752" s="164"/>
      <c r="G752" s="721">
        <v>0</v>
      </c>
      <c r="H752" s="164">
        <f t="shared" si="122"/>
        <v>0</v>
      </c>
    </row>
    <row r="753" spans="1:8" ht="12" customHeight="1" x14ac:dyDescent="0.2">
      <c r="A753" s="1421"/>
      <c r="B753" s="1422"/>
      <c r="C753" s="815"/>
      <c r="D753" s="1476"/>
      <c r="E753" s="804" t="s">
        <v>304</v>
      </c>
      <c r="F753" s="164"/>
      <c r="G753" s="721">
        <v>0</v>
      </c>
      <c r="H753" s="164">
        <f t="shared" si="122"/>
        <v>0</v>
      </c>
    </row>
    <row r="754" spans="1:8" ht="12" customHeight="1" x14ac:dyDescent="0.2">
      <c r="A754" s="1421"/>
      <c r="B754" s="1422"/>
      <c r="C754" s="815"/>
      <c r="D754" s="1475" t="s">
        <v>55</v>
      </c>
      <c r="E754" s="804" t="s">
        <v>302</v>
      </c>
      <c r="F754" s="164"/>
      <c r="G754" s="721">
        <v>200000</v>
      </c>
      <c r="H754" s="164">
        <f t="shared" si="122"/>
        <v>200000</v>
      </c>
    </row>
    <row r="755" spans="1:8" ht="12" customHeight="1" x14ac:dyDescent="0.2">
      <c r="A755" s="1421"/>
      <c r="B755" s="1422"/>
      <c r="C755" s="815"/>
      <c r="D755" s="1477"/>
      <c r="E755" s="804" t="s">
        <v>303</v>
      </c>
      <c r="F755" s="164"/>
      <c r="G755" s="721">
        <v>200000</v>
      </c>
      <c r="H755" s="164">
        <f t="shared" si="122"/>
        <v>200000</v>
      </c>
    </row>
    <row r="756" spans="1:8" ht="12" customHeight="1" x14ac:dyDescent="0.2">
      <c r="A756" s="1426"/>
      <c r="B756" s="1427"/>
      <c r="C756" s="815"/>
      <c r="D756" s="1476"/>
      <c r="E756" s="804" t="s">
        <v>304</v>
      </c>
      <c r="F756" s="164"/>
      <c r="G756" s="721">
        <v>182371</v>
      </c>
      <c r="H756" s="164">
        <f t="shared" si="122"/>
        <v>182371</v>
      </c>
    </row>
    <row r="757" spans="1:8" ht="12" customHeight="1" x14ac:dyDescent="0.2">
      <c r="A757" s="1458" t="s">
        <v>111</v>
      </c>
      <c r="B757" s="1458"/>
      <c r="C757" s="1458"/>
      <c r="D757" s="1458"/>
      <c r="E757" s="1458"/>
      <c r="F757" s="819"/>
      <c r="G757" s="819"/>
      <c r="H757" s="819">
        <v>0</v>
      </c>
    </row>
    <row r="758" spans="1:8" ht="12" customHeight="1" x14ac:dyDescent="0.2">
      <c r="A758" s="823"/>
      <c r="B758" s="823"/>
      <c r="C758" s="823"/>
      <c r="D758" s="823"/>
      <c r="E758" s="820" t="s">
        <v>302</v>
      </c>
      <c r="F758" s="824">
        <v>1722500</v>
      </c>
      <c r="G758" s="819"/>
      <c r="H758" s="819">
        <f>F758</f>
        <v>1722500</v>
      </c>
    </row>
    <row r="759" spans="1:8" ht="12" customHeight="1" x14ac:dyDescent="0.2">
      <c r="A759" s="823"/>
      <c r="B759" s="823"/>
      <c r="C759" s="823"/>
      <c r="D759" s="823"/>
      <c r="E759" s="820" t="s">
        <v>303</v>
      </c>
      <c r="F759" s="824">
        <v>1722500</v>
      </c>
      <c r="G759" s="819"/>
      <c r="H759" s="819">
        <f>F759</f>
        <v>1722500</v>
      </c>
    </row>
    <row r="760" spans="1:8" ht="12" customHeight="1" x14ac:dyDescent="0.2">
      <c r="A760" s="823"/>
      <c r="B760" s="823"/>
      <c r="C760" s="823"/>
      <c r="D760" s="823"/>
      <c r="E760" s="820" t="s">
        <v>304</v>
      </c>
      <c r="F760" s="824">
        <v>150000</v>
      </c>
      <c r="G760" s="819"/>
      <c r="H760" s="819">
        <f>F760</f>
        <v>150000</v>
      </c>
    </row>
    <row r="761" spans="1:8" ht="12" customHeight="1" x14ac:dyDescent="0.2">
      <c r="A761" s="1458" t="s">
        <v>112</v>
      </c>
      <c r="B761" s="1458"/>
      <c r="C761" s="1458"/>
      <c r="D761" s="1458"/>
      <c r="E761" s="1458"/>
      <c r="F761" s="819"/>
      <c r="G761" s="819"/>
      <c r="H761" s="819"/>
    </row>
    <row r="762" spans="1:8" ht="12" customHeight="1" x14ac:dyDescent="0.2">
      <c r="A762" s="825"/>
      <c r="B762" s="825"/>
      <c r="C762" s="825" t="s">
        <v>647</v>
      </c>
      <c r="D762" s="825"/>
      <c r="E762" s="1474"/>
      <c r="F762" s="1474"/>
      <c r="G762" s="1474"/>
      <c r="H762" s="824"/>
    </row>
    <row r="763" spans="1:8" ht="12" customHeight="1" x14ac:dyDescent="0.2">
      <c r="A763" s="825"/>
      <c r="B763" s="825"/>
      <c r="C763" s="825"/>
      <c r="D763" s="825"/>
      <c r="E763" s="820" t="s">
        <v>302</v>
      </c>
      <c r="F763" s="824"/>
      <c r="G763" s="824">
        <v>28665011</v>
      </c>
      <c r="H763" s="824">
        <f>G763</f>
        <v>28665011</v>
      </c>
    </row>
    <row r="764" spans="1:8" ht="12" customHeight="1" x14ac:dyDescent="0.2">
      <c r="A764" s="825"/>
      <c r="B764" s="825"/>
      <c r="C764" s="825"/>
      <c r="D764" s="825"/>
      <c r="E764" s="820" t="s">
        <v>303</v>
      </c>
      <c r="F764" s="824"/>
      <c r="G764" s="824">
        <v>28665011</v>
      </c>
      <c r="H764" s="824">
        <f>G764</f>
        <v>28665011</v>
      </c>
    </row>
    <row r="765" spans="1:8" ht="12" customHeight="1" x14ac:dyDescent="0.2">
      <c r="A765" s="825"/>
      <c r="B765" s="825"/>
      <c r="C765" s="825"/>
      <c r="D765" s="825"/>
      <c r="E765" s="820" t="s">
        <v>304</v>
      </c>
      <c r="F765" s="824"/>
      <c r="G765" s="824">
        <v>0</v>
      </c>
      <c r="H765" s="824">
        <f>G765</f>
        <v>0</v>
      </c>
    </row>
    <row r="766" spans="1:8" ht="12" customHeight="1" x14ac:dyDescent="0.2">
      <c r="A766" s="1458" t="s">
        <v>113</v>
      </c>
      <c r="B766" s="1458"/>
      <c r="C766" s="1458"/>
      <c r="D766" s="1458"/>
      <c r="E766" s="1458"/>
      <c r="F766" s="819"/>
      <c r="G766" s="819"/>
      <c r="H766" s="819"/>
    </row>
    <row r="767" spans="1:8" ht="12" customHeight="1" x14ac:dyDescent="0.2">
      <c r="A767" s="823"/>
      <c r="B767" s="823"/>
      <c r="C767" s="823"/>
      <c r="D767" s="823" t="s">
        <v>54</v>
      </c>
      <c r="E767" s="820" t="s">
        <v>302</v>
      </c>
      <c r="F767" s="819">
        <f t="shared" ref="F767:H769" si="123">F771+F775+F779</f>
        <v>27700000</v>
      </c>
      <c r="G767" s="819">
        <f t="shared" si="123"/>
        <v>12100000</v>
      </c>
      <c r="H767" s="819">
        <f t="shared" si="123"/>
        <v>39800000</v>
      </c>
    </row>
    <row r="768" spans="1:8" ht="12" customHeight="1" x14ac:dyDescent="0.2">
      <c r="A768" s="823"/>
      <c r="B768" s="823"/>
      <c r="C768" s="823"/>
      <c r="D768" s="823"/>
      <c r="E768" s="820" t="s">
        <v>303</v>
      </c>
      <c r="F768" s="819">
        <f t="shared" si="123"/>
        <v>109184529</v>
      </c>
      <c r="G768" s="819">
        <f t="shared" si="123"/>
        <v>15581217</v>
      </c>
      <c r="H768" s="819">
        <f t="shared" si="123"/>
        <v>124765746</v>
      </c>
    </row>
    <row r="769" spans="1:8" ht="12" customHeight="1" x14ac:dyDescent="0.2">
      <c r="A769" s="823"/>
      <c r="B769" s="823"/>
      <c r="C769" s="823"/>
      <c r="D769" s="823"/>
      <c r="E769" s="820" t="s">
        <v>304</v>
      </c>
      <c r="F769" s="819">
        <f t="shared" si="123"/>
        <v>107995420</v>
      </c>
      <c r="G769" s="819">
        <f>G773+G777+G781</f>
        <v>15581217</v>
      </c>
      <c r="H769" s="819">
        <f t="shared" si="123"/>
        <v>123576637</v>
      </c>
    </row>
    <row r="770" spans="1:8" ht="12" customHeight="1" x14ac:dyDescent="0.2">
      <c r="A770" s="1571" t="s">
        <v>2</v>
      </c>
      <c r="B770" s="1572"/>
      <c r="C770" s="1487" t="s">
        <v>137</v>
      </c>
      <c r="D770" s="1568" t="s">
        <v>54</v>
      </c>
      <c r="E770" s="1488" t="s">
        <v>200</v>
      </c>
      <c r="F770" s="1488"/>
      <c r="G770" s="1488"/>
      <c r="H770" s="793"/>
    </row>
    <row r="771" spans="1:8" ht="12" customHeight="1" x14ac:dyDescent="0.2">
      <c r="A771" s="1573"/>
      <c r="B771" s="1574"/>
      <c r="C771" s="1487"/>
      <c r="D771" s="1569"/>
      <c r="E771" s="795" t="s">
        <v>302</v>
      </c>
      <c r="F771" s="792">
        <v>25000000</v>
      </c>
      <c r="G771" s="792"/>
      <c r="H771" s="793">
        <f t="shared" ref="H771:H777" si="124">F771+G771</f>
        <v>25000000</v>
      </c>
    </row>
    <row r="772" spans="1:8" ht="12" customHeight="1" x14ac:dyDescent="0.2">
      <c r="A772" s="1573"/>
      <c r="B772" s="1574"/>
      <c r="C772" s="1487"/>
      <c r="D772" s="1569"/>
      <c r="E772" s="795" t="s">
        <v>303</v>
      </c>
      <c r="F772" s="792">
        <v>100000000</v>
      </c>
      <c r="G772" s="792"/>
      <c r="H772" s="793">
        <f t="shared" si="124"/>
        <v>100000000</v>
      </c>
    </row>
    <row r="773" spans="1:8" ht="12" customHeight="1" x14ac:dyDescent="0.2">
      <c r="A773" s="1575"/>
      <c r="B773" s="1576"/>
      <c r="C773" s="1487"/>
      <c r="D773" s="1570"/>
      <c r="E773" s="795" t="s">
        <v>304</v>
      </c>
      <c r="F773" s="792">
        <v>97851110</v>
      </c>
      <c r="G773" s="792"/>
      <c r="H773" s="793">
        <f t="shared" si="124"/>
        <v>97851110</v>
      </c>
    </row>
    <row r="774" spans="1:8" ht="12" customHeight="1" x14ac:dyDescent="0.2">
      <c r="A774" s="1571" t="s">
        <v>3</v>
      </c>
      <c r="B774" s="1572"/>
      <c r="C774" s="1487"/>
      <c r="D774" s="1568" t="s">
        <v>54</v>
      </c>
      <c r="E774" s="803" t="s">
        <v>648</v>
      </c>
      <c r="F774" s="721"/>
      <c r="G774" s="721"/>
      <c r="H774" s="164"/>
    </row>
    <row r="775" spans="1:8" ht="12" customHeight="1" x14ac:dyDescent="0.2">
      <c r="A775" s="1573"/>
      <c r="B775" s="1574"/>
      <c r="C775" s="1487"/>
      <c r="D775" s="1569"/>
      <c r="E775" s="804" t="s">
        <v>302</v>
      </c>
      <c r="F775" s="721">
        <v>2700000</v>
      </c>
      <c r="G775" s="721">
        <v>12100000</v>
      </c>
      <c r="H775" s="164">
        <f t="shared" si="124"/>
        <v>14800000</v>
      </c>
    </row>
    <row r="776" spans="1:8" ht="12" customHeight="1" x14ac:dyDescent="0.2">
      <c r="A776" s="1573"/>
      <c r="B776" s="1574"/>
      <c r="C776" s="1487"/>
      <c r="D776" s="1569"/>
      <c r="E776" s="804" t="s">
        <v>303</v>
      </c>
      <c r="F776" s="87">
        <f>2700000</f>
        <v>2700000</v>
      </c>
      <c r="G776" s="88">
        <f>12100000+3481217</f>
        <v>15581217</v>
      </c>
      <c r="H776" s="164">
        <f t="shared" si="124"/>
        <v>18281217</v>
      </c>
    </row>
    <row r="777" spans="1:8" ht="12" customHeight="1" x14ac:dyDescent="0.2">
      <c r="A777" s="1575"/>
      <c r="B777" s="1576"/>
      <c r="C777" s="1487"/>
      <c r="D777" s="1570"/>
      <c r="E777" s="804" t="s">
        <v>304</v>
      </c>
      <c r="F777" s="87">
        <f>2700000</f>
        <v>2700000</v>
      </c>
      <c r="G777" s="88">
        <f>12100000+3481217</f>
        <v>15581217</v>
      </c>
      <c r="H777" s="164">
        <f t="shared" si="124"/>
        <v>18281217</v>
      </c>
    </row>
    <row r="778" spans="1:8" ht="12" customHeight="1" x14ac:dyDescent="0.2">
      <c r="A778" s="1571">
        <v>3</v>
      </c>
      <c r="B778" s="1572"/>
      <c r="C778" s="1568"/>
      <c r="D778" s="1568" t="s">
        <v>54</v>
      </c>
      <c r="E778" s="805" t="s">
        <v>201</v>
      </c>
      <c r="F778" s="792"/>
      <c r="G778" s="792"/>
      <c r="H778" s="793"/>
    </row>
    <row r="779" spans="1:8" ht="12" customHeight="1" x14ac:dyDescent="0.2">
      <c r="A779" s="1573"/>
      <c r="B779" s="1574"/>
      <c r="C779" s="1569"/>
      <c r="D779" s="1569"/>
      <c r="E779" s="795" t="s">
        <v>302</v>
      </c>
      <c r="F779" s="792">
        <v>0</v>
      </c>
      <c r="G779" s="792"/>
      <c r="H779" s="793">
        <f>F779+G779</f>
        <v>0</v>
      </c>
    </row>
    <row r="780" spans="1:8" ht="12" customHeight="1" x14ac:dyDescent="0.2">
      <c r="A780" s="1573"/>
      <c r="B780" s="1574"/>
      <c r="C780" s="1569"/>
      <c r="D780" s="1569"/>
      <c r="E780" s="795" t="s">
        <v>303</v>
      </c>
      <c r="F780" s="792">
        <v>6484529</v>
      </c>
      <c r="G780" s="792"/>
      <c r="H780" s="793">
        <f>F780+G780</f>
        <v>6484529</v>
      </c>
    </row>
    <row r="781" spans="1:8" ht="12" customHeight="1" x14ac:dyDescent="0.2">
      <c r="A781" s="1575"/>
      <c r="B781" s="1576"/>
      <c r="C781" s="1570"/>
      <c r="D781" s="1570"/>
      <c r="E781" s="795" t="s">
        <v>304</v>
      </c>
      <c r="F781" s="792">
        <v>7444310</v>
      </c>
      <c r="G781" s="792"/>
      <c r="H781" s="793">
        <f>F781+G781</f>
        <v>7444310</v>
      </c>
    </row>
    <row r="782" spans="1:8" ht="12" customHeight="1" x14ac:dyDescent="0.2">
      <c r="A782" s="1460" t="s">
        <v>235</v>
      </c>
      <c r="B782" s="1460"/>
      <c r="C782" s="1460"/>
      <c r="D782" s="1460"/>
      <c r="E782" s="1460"/>
      <c r="F782" s="718"/>
      <c r="G782" s="718"/>
      <c r="H782" s="718"/>
    </row>
    <row r="783" spans="1:8" ht="12" customHeight="1" x14ac:dyDescent="0.2">
      <c r="A783" s="821"/>
      <c r="B783" s="821"/>
      <c r="C783" s="821"/>
      <c r="D783" s="821"/>
      <c r="E783" s="822" t="s">
        <v>302</v>
      </c>
      <c r="F783" s="718">
        <f>F538+F610+F643+F675+F758+F763+F767</f>
        <v>302319190</v>
      </c>
      <c r="G783" s="718">
        <f>G610+G643+G746+G763+G767</f>
        <v>44658369</v>
      </c>
      <c r="H783" s="718">
        <f>F783+G783</f>
        <v>346977559</v>
      </c>
    </row>
    <row r="784" spans="1:8" ht="12" customHeight="1" x14ac:dyDescent="0.2">
      <c r="A784" s="821"/>
      <c r="B784" s="821"/>
      <c r="C784" s="821"/>
      <c r="D784" s="821"/>
      <c r="E784" s="822" t="s">
        <v>303</v>
      </c>
      <c r="F784" s="718">
        <f t="shared" ref="F784" si="125">F539+F611+F644+F676+F759+F764+F768</f>
        <v>386038506</v>
      </c>
      <c r="G784" s="718">
        <f t="shared" ref="G784" si="126">G611+G644+G747+G764+G768</f>
        <v>270318571</v>
      </c>
      <c r="H784" s="718">
        <f t="shared" ref="H784:H785" si="127">F784+G784</f>
        <v>656357077</v>
      </c>
    </row>
    <row r="785" spans="1:8" ht="12" customHeight="1" x14ac:dyDescent="0.2">
      <c r="A785" s="821"/>
      <c r="B785" s="821"/>
      <c r="C785" s="821"/>
      <c r="D785" s="821"/>
      <c r="E785" s="822" t="s">
        <v>304</v>
      </c>
      <c r="F785" s="718">
        <f>F540+F645+F677+F760+F765+F769</f>
        <v>402022950</v>
      </c>
      <c r="G785" s="718">
        <f>G612+G645+G748+G765+G769</f>
        <v>235630545</v>
      </c>
      <c r="H785" s="718">
        <f t="shared" si="127"/>
        <v>637653495</v>
      </c>
    </row>
    <row r="786" spans="1:8" ht="12" customHeight="1" x14ac:dyDescent="0.2">
      <c r="A786" s="1461" t="s">
        <v>204</v>
      </c>
      <c r="B786" s="1461"/>
      <c r="C786" s="1461"/>
      <c r="D786" s="1461"/>
      <c r="E786" s="1461"/>
      <c r="F786" s="816"/>
      <c r="G786" s="816"/>
      <c r="H786" s="816"/>
    </row>
    <row r="787" spans="1:8" ht="12" customHeight="1" x14ac:dyDescent="0.2">
      <c r="A787" s="817"/>
      <c r="B787" s="817"/>
      <c r="C787" s="817"/>
      <c r="D787" s="817"/>
      <c r="E787" s="818" t="s">
        <v>302</v>
      </c>
      <c r="F787" s="816">
        <f>F525+F783</f>
        <v>314284271</v>
      </c>
      <c r="G787" s="816">
        <f>G525+G783</f>
        <v>45658369</v>
      </c>
      <c r="H787" s="816">
        <f>F787+G787</f>
        <v>359942640</v>
      </c>
    </row>
    <row r="788" spans="1:8" ht="12" customHeight="1" x14ac:dyDescent="0.2">
      <c r="A788" s="817"/>
      <c r="B788" s="817"/>
      <c r="C788" s="817"/>
      <c r="D788" s="817"/>
      <c r="E788" s="818" t="s">
        <v>303</v>
      </c>
      <c r="F788" s="816">
        <f t="shared" ref="F788:G789" si="128">F526+F784</f>
        <v>398389217</v>
      </c>
      <c r="G788" s="816">
        <f t="shared" si="128"/>
        <v>271318571</v>
      </c>
      <c r="H788" s="816">
        <f t="shared" ref="H788:H789" si="129">F788+G788</f>
        <v>669707788</v>
      </c>
    </row>
    <row r="789" spans="1:8" ht="12" customHeight="1" x14ac:dyDescent="0.2">
      <c r="A789" s="817"/>
      <c r="B789" s="817"/>
      <c r="C789" s="817"/>
      <c r="D789" s="817"/>
      <c r="E789" s="818" t="s">
        <v>304</v>
      </c>
      <c r="F789" s="816">
        <f>F527+F785</f>
        <v>414321710</v>
      </c>
      <c r="G789" s="816">
        <f t="shared" si="128"/>
        <v>235630545</v>
      </c>
      <c r="H789" s="816">
        <f t="shared" si="129"/>
        <v>649952255</v>
      </c>
    </row>
    <row r="790" spans="1:8" ht="12" customHeight="1" x14ac:dyDescent="0.2">
      <c r="A790" s="1462" t="s">
        <v>114</v>
      </c>
      <c r="B790" s="1462"/>
      <c r="C790" s="1462"/>
      <c r="D790" s="1462"/>
      <c r="E790" s="1462"/>
      <c r="F790" s="1462"/>
      <c r="G790" s="1462"/>
      <c r="H790" s="1462"/>
    </row>
    <row r="791" spans="1:8" ht="12" customHeight="1" x14ac:dyDescent="0.2">
      <c r="A791" s="806"/>
      <c r="B791" s="806"/>
      <c r="C791" s="807" t="s">
        <v>115</v>
      </c>
      <c r="D791" s="807"/>
      <c r="E791" s="807"/>
      <c r="F791" s="753"/>
      <c r="G791" s="753"/>
      <c r="H791" s="753"/>
    </row>
    <row r="792" spans="1:8" ht="12" customHeight="1" x14ac:dyDescent="0.2">
      <c r="A792" s="1396" t="s">
        <v>2</v>
      </c>
      <c r="B792" s="1397"/>
      <c r="C792" s="1396" t="s">
        <v>652</v>
      </c>
      <c r="D792" s="1397"/>
      <c r="E792" s="757" t="s">
        <v>11</v>
      </c>
      <c r="F792" s="721"/>
      <c r="G792" s="721"/>
      <c r="H792" s="721"/>
    </row>
    <row r="793" spans="1:8" ht="12" customHeight="1" x14ac:dyDescent="0.2">
      <c r="A793" s="1398"/>
      <c r="B793" s="1399"/>
      <c r="C793" s="1398"/>
      <c r="D793" s="1399"/>
      <c r="E793" s="804" t="s">
        <v>302</v>
      </c>
      <c r="F793" s="721">
        <f>'5 kiadások'!F355</f>
        <v>149614061</v>
      </c>
      <c r="G793" s="721"/>
      <c r="H793" s="721">
        <f>F793</f>
        <v>149614061</v>
      </c>
    </row>
    <row r="794" spans="1:8" ht="12" customHeight="1" x14ac:dyDescent="0.2">
      <c r="A794" s="1398"/>
      <c r="B794" s="1399"/>
      <c r="C794" s="1398"/>
      <c r="D794" s="1399"/>
      <c r="E794" s="804" t="s">
        <v>303</v>
      </c>
      <c r="F794" s="721">
        <f>'5 kiadások'!F356</f>
        <v>154706502</v>
      </c>
      <c r="G794" s="721"/>
      <c r="H794" s="721">
        <f t="shared" ref="H794:H811" si="130">F794</f>
        <v>154706502</v>
      </c>
    </row>
    <row r="795" spans="1:8" ht="12" customHeight="1" x14ac:dyDescent="0.2">
      <c r="A795" s="1400"/>
      <c r="B795" s="1401"/>
      <c r="C795" s="1400"/>
      <c r="D795" s="1401"/>
      <c r="E795" s="804" t="s">
        <v>304</v>
      </c>
      <c r="F795" s="721">
        <f>'5 kiadások'!F357</f>
        <v>142168033</v>
      </c>
      <c r="G795" s="721"/>
      <c r="H795" s="721">
        <f t="shared" si="130"/>
        <v>142168033</v>
      </c>
    </row>
    <row r="796" spans="1:8" ht="12" customHeight="1" x14ac:dyDescent="0.2">
      <c r="A796" s="1396" t="s">
        <v>3</v>
      </c>
      <c r="B796" s="1397"/>
      <c r="C796" s="1396" t="s">
        <v>116</v>
      </c>
      <c r="D796" s="1397"/>
      <c r="E796" s="757" t="s">
        <v>56</v>
      </c>
      <c r="F796" s="721"/>
      <c r="G796" s="721"/>
      <c r="H796" s="721"/>
    </row>
    <row r="797" spans="1:8" ht="12" customHeight="1" x14ac:dyDescent="0.2">
      <c r="A797" s="1398"/>
      <c r="B797" s="1399"/>
      <c r="C797" s="1398"/>
      <c r="D797" s="1399"/>
      <c r="E797" s="804" t="s">
        <v>302</v>
      </c>
      <c r="F797" s="721">
        <f>'5 kiadások'!G355</f>
        <v>33904878</v>
      </c>
      <c r="G797" s="721"/>
      <c r="H797" s="721">
        <f t="shared" si="130"/>
        <v>33904878</v>
      </c>
    </row>
    <row r="798" spans="1:8" ht="12" customHeight="1" x14ac:dyDescent="0.2">
      <c r="A798" s="1398"/>
      <c r="B798" s="1399"/>
      <c r="C798" s="1398"/>
      <c r="D798" s="1399"/>
      <c r="E798" s="804" t="s">
        <v>303</v>
      </c>
      <c r="F798" s="721">
        <f>'5 kiadások'!G356</f>
        <v>29573173.100000001</v>
      </c>
      <c r="G798" s="721"/>
      <c r="H798" s="721">
        <f t="shared" si="130"/>
        <v>29573173.100000001</v>
      </c>
    </row>
    <row r="799" spans="1:8" ht="12" customHeight="1" x14ac:dyDescent="0.2">
      <c r="A799" s="1400"/>
      <c r="B799" s="1401"/>
      <c r="C799" s="1400"/>
      <c r="D799" s="1401"/>
      <c r="E799" s="804" t="s">
        <v>304</v>
      </c>
      <c r="F799" s="721">
        <f>'5 kiadások'!G357</f>
        <v>27899609</v>
      </c>
      <c r="G799" s="721"/>
      <c r="H799" s="721">
        <f t="shared" si="130"/>
        <v>27899609</v>
      </c>
    </row>
    <row r="800" spans="1:8" ht="12" customHeight="1" x14ac:dyDescent="0.2">
      <c r="A800" s="1396" t="s">
        <v>4</v>
      </c>
      <c r="B800" s="1397"/>
      <c r="C800" s="1396" t="s">
        <v>653</v>
      </c>
      <c r="D800" s="1397"/>
      <c r="E800" s="757" t="s">
        <v>12</v>
      </c>
      <c r="F800" s="721"/>
      <c r="G800" s="721"/>
      <c r="H800" s="721"/>
    </row>
    <row r="801" spans="1:8" ht="12" customHeight="1" x14ac:dyDescent="0.2">
      <c r="A801" s="1398"/>
      <c r="B801" s="1399"/>
      <c r="C801" s="1398"/>
      <c r="D801" s="1399"/>
      <c r="E801" s="804" t="s">
        <v>302</v>
      </c>
      <c r="F801" s="721">
        <f>'5 kiadások'!H355</f>
        <v>95606233</v>
      </c>
      <c r="G801" s="721"/>
      <c r="H801" s="721">
        <f t="shared" si="130"/>
        <v>95606233</v>
      </c>
    </row>
    <row r="802" spans="1:8" ht="12" customHeight="1" x14ac:dyDescent="0.2">
      <c r="A802" s="1398"/>
      <c r="B802" s="1399"/>
      <c r="C802" s="1398"/>
      <c r="D802" s="1399"/>
      <c r="E802" s="804" t="s">
        <v>303</v>
      </c>
      <c r="F802" s="721">
        <f>'5 kiadások'!H356</f>
        <v>124951971</v>
      </c>
      <c r="G802" s="721"/>
      <c r="H802" s="721">
        <f t="shared" si="130"/>
        <v>124951971</v>
      </c>
    </row>
    <row r="803" spans="1:8" ht="12" customHeight="1" x14ac:dyDescent="0.2">
      <c r="A803" s="1400"/>
      <c r="B803" s="1401"/>
      <c r="C803" s="1400"/>
      <c r="D803" s="1401"/>
      <c r="E803" s="804" t="s">
        <v>304</v>
      </c>
      <c r="F803" s="721">
        <f>'5 kiadások'!H357</f>
        <v>119799500.39999999</v>
      </c>
      <c r="G803" s="721"/>
      <c r="H803" s="721">
        <f t="shared" si="130"/>
        <v>119799500.39999999</v>
      </c>
    </row>
    <row r="804" spans="1:8" ht="12" customHeight="1" x14ac:dyDescent="0.2">
      <c r="A804" s="1396" t="s">
        <v>5</v>
      </c>
      <c r="B804" s="1397"/>
      <c r="C804" s="1396" t="s">
        <v>654</v>
      </c>
      <c r="D804" s="1397"/>
      <c r="E804" s="757" t="s">
        <v>51</v>
      </c>
      <c r="F804" s="721"/>
      <c r="G804" s="721"/>
      <c r="H804" s="721"/>
    </row>
    <row r="805" spans="1:8" ht="12" customHeight="1" x14ac:dyDescent="0.2">
      <c r="A805" s="1398"/>
      <c r="B805" s="1399"/>
      <c r="C805" s="1398"/>
      <c r="D805" s="1399"/>
      <c r="E805" s="804" t="s">
        <v>302</v>
      </c>
      <c r="F805" s="721">
        <f>'5 kiadások'!I355</f>
        <v>3848000</v>
      </c>
      <c r="G805" s="721"/>
      <c r="H805" s="721">
        <f t="shared" si="130"/>
        <v>3848000</v>
      </c>
    </row>
    <row r="806" spans="1:8" ht="12" customHeight="1" x14ac:dyDescent="0.2">
      <c r="A806" s="1398"/>
      <c r="B806" s="1399"/>
      <c r="C806" s="1398"/>
      <c r="D806" s="1399"/>
      <c r="E806" s="804" t="s">
        <v>303</v>
      </c>
      <c r="F806" s="721">
        <f>'5 kiadások'!I356</f>
        <v>4419000</v>
      </c>
      <c r="G806" s="721"/>
      <c r="H806" s="721">
        <f t="shared" si="130"/>
        <v>4419000</v>
      </c>
    </row>
    <row r="807" spans="1:8" ht="12" customHeight="1" x14ac:dyDescent="0.2">
      <c r="A807" s="1400"/>
      <c r="B807" s="1401"/>
      <c r="C807" s="1400"/>
      <c r="D807" s="1401"/>
      <c r="E807" s="804" t="s">
        <v>304</v>
      </c>
      <c r="F807" s="721">
        <f>'5 kiadások'!I357</f>
        <v>4193931</v>
      </c>
      <c r="G807" s="721"/>
      <c r="H807" s="721">
        <f t="shared" si="130"/>
        <v>4193931</v>
      </c>
    </row>
    <row r="808" spans="1:8" ht="12" customHeight="1" x14ac:dyDescent="0.2">
      <c r="A808" s="1396" t="s">
        <v>6</v>
      </c>
      <c r="B808" s="1397"/>
      <c r="C808" s="1396" t="s">
        <v>117</v>
      </c>
      <c r="D808" s="1397"/>
      <c r="E808" s="758" t="s">
        <v>49</v>
      </c>
      <c r="F808" s="721"/>
      <c r="G808" s="721"/>
      <c r="H808" s="721"/>
    </row>
    <row r="809" spans="1:8" ht="12" customHeight="1" x14ac:dyDescent="0.2">
      <c r="A809" s="1398"/>
      <c r="B809" s="1399"/>
      <c r="C809" s="1398"/>
      <c r="D809" s="1399"/>
      <c r="E809" s="804" t="s">
        <v>302</v>
      </c>
      <c r="F809" s="792">
        <f>'5 kiadások'!J326+'5 kiadások'!K326+'5 kiadások'!L326</f>
        <v>6311099</v>
      </c>
      <c r="G809" s="721"/>
      <c r="H809" s="721">
        <f t="shared" si="130"/>
        <v>6311099</v>
      </c>
    </row>
    <row r="810" spans="1:8" ht="12" customHeight="1" x14ac:dyDescent="0.2">
      <c r="A810" s="1398"/>
      <c r="B810" s="1399"/>
      <c r="C810" s="1398"/>
      <c r="D810" s="1399"/>
      <c r="E810" s="804" t="s">
        <v>303</v>
      </c>
      <c r="F810" s="792">
        <f>'5 kiadások'!J327+'5 kiadások'!K327+'5 kiadások'!L327</f>
        <v>7183417</v>
      </c>
      <c r="G810" s="721"/>
      <c r="H810" s="721">
        <f t="shared" si="130"/>
        <v>7183417</v>
      </c>
    </row>
    <row r="811" spans="1:8" ht="12" customHeight="1" x14ac:dyDescent="0.2">
      <c r="A811" s="1400"/>
      <c r="B811" s="1401"/>
      <c r="C811" s="1400"/>
      <c r="D811" s="1401"/>
      <c r="E811" s="804" t="s">
        <v>304</v>
      </c>
      <c r="F811" s="792">
        <f>'5 kiadások'!J328+'5 kiadások'!K328+'5 kiadások'!L328</f>
        <v>6458688</v>
      </c>
      <c r="G811" s="721"/>
      <c r="H811" s="721">
        <f t="shared" si="130"/>
        <v>6458688</v>
      </c>
    </row>
    <row r="812" spans="1:8" ht="12" customHeight="1" x14ac:dyDescent="0.2">
      <c r="A812" s="1463" t="s">
        <v>61</v>
      </c>
      <c r="B812" s="1463"/>
      <c r="C812" s="1463"/>
      <c r="D812" s="1463"/>
      <c r="E812" s="1463"/>
      <c r="F812" s="819"/>
      <c r="G812" s="819"/>
      <c r="H812" s="819"/>
    </row>
    <row r="813" spans="1:8" ht="12" customHeight="1" x14ac:dyDescent="0.2">
      <c r="A813" s="1465"/>
      <c r="B813" s="1466"/>
      <c r="C813" s="1466"/>
      <c r="D813" s="1467"/>
      <c r="E813" s="820" t="s">
        <v>302</v>
      </c>
      <c r="F813" s="819">
        <f>F793+F797+F801+F805+F809</f>
        <v>289284271</v>
      </c>
      <c r="G813" s="819"/>
      <c r="H813" s="819">
        <f>F813</f>
        <v>289284271</v>
      </c>
    </row>
    <row r="814" spans="1:8" ht="12" customHeight="1" x14ac:dyDescent="0.2">
      <c r="A814" s="1468"/>
      <c r="B814" s="1469"/>
      <c r="C814" s="1469"/>
      <c r="D814" s="1470"/>
      <c r="E814" s="820" t="s">
        <v>303</v>
      </c>
      <c r="F814" s="819">
        <f>F794+F798+F802+F806+F810</f>
        <v>320834063.10000002</v>
      </c>
      <c r="G814" s="819"/>
      <c r="H814" s="819">
        <f>F814</f>
        <v>320834063.10000002</v>
      </c>
    </row>
    <row r="815" spans="1:8" ht="12" customHeight="1" x14ac:dyDescent="0.2">
      <c r="A815" s="1471"/>
      <c r="B815" s="1472"/>
      <c r="C815" s="1472"/>
      <c r="D815" s="1473"/>
      <c r="E815" s="820" t="s">
        <v>304</v>
      </c>
      <c r="F815" s="819">
        <f>F795+F799+F803+F807+F811</f>
        <v>300519761.39999998</v>
      </c>
      <c r="G815" s="819"/>
      <c r="H815" s="819">
        <f>F815</f>
        <v>300519761.39999998</v>
      </c>
    </row>
    <row r="816" spans="1:8" ht="12" customHeight="1" x14ac:dyDescent="0.2">
      <c r="A816" s="808"/>
      <c r="B816" s="808"/>
      <c r="C816" s="1455" t="s">
        <v>118</v>
      </c>
      <c r="D816" s="1455"/>
      <c r="E816" s="1455"/>
      <c r="F816" s="164"/>
      <c r="G816" s="164"/>
      <c r="H816" s="164"/>
    </row>
    <row r="817" spans="1:8" ht="12" customHeight="1" x14ac:dyDescent="0.2">
      <c r="A817" s="809" t="s">
        <v>2</v>
      </c>
      <c r="B817" s="809"/>
      <c r="C817" s="809" t="s">
        <v>119</v>
      </c>
      <c r="D817" s="809"/>
      <c r="E817" s="810" t="s">
        <v>22</v>
      </c>
      <c r="F817" s="721"/>
      <c r="G817" s="721"/>
      <c r="H817" s="721"/>
    </row>
    <row r="818" spans="1:8" ht="12" customHeight="1" x14ac:dyDescent="0.2">
      <c r="A818" s="809"/>
      <c r="B818" s="809"/>
      <c r="C818" s="809"/>
      <c r="D818" s="809"/>
      <c r="E818" s="804" t="s">
        <v>302</v>
      </c>
      <c r="F818" s="721"/>
      <c r="G818" s="721">
        <f>'6 beruházások'!D6</f>
        <v>45658369</v>
      </c>
      <c r="H818" s="721">
        <f>G818</f>
        <v>45658369</v>
      </c>
    </row>
    <row r="819" spans="1:8" ht="12" customHeight="1" x14ac:dyDescent="0.2">
      <c r="A819" s="809"/>
      <c r="B819" s="809"/>
      <c r="C819" s="809"/>
      <c r="D819" s="809"/>
      <c r="E819" s="804" t="s">
        <v>303</v>
      </c>
      <c r="F819" s="721"/>
      <c r="G819" s="721">
        <f>'6 beruházások'!E6</f>
        <v>87410424.579999998</v>
      </c>
      <c r="H819" s="721">
        <f t="shared" ref="H819:H828" si="131">G819</f>
        <v>87410424.579999998</v>
      </c>
    </row>
    <row r="820" spans="1:8" ht="12" customHeight="1" x14ac:dyDescent="0.2">
      <c r="A820" s="809"/>
      <c r="B820" s="809"/>
      <c r="C820" s="809"/>
      <c r="D820" s="809"/>
      <c r="E820" s="804" t="s">
        <v>304</v>
      </c>
      <c r="F820" s="721"/>
      <c r="G820" s="721">
        <f>'6 beruházások'!F6</f>
        <v>26682128</v>
      </c>
      <c r="H820" s="721">
        <f t="shared" si="131"/>
        <v>26682128</v>
      </c>
    </row>
    <row r="821" spans="1:8" ht="12" customHeight="1" x14ac:dyDescent="0.2">
      <c r="A821" s="809" t="s">
        <v>3</v>
      </c>
      <c r="B821" s="809"/>
      <c r="C821" s="809" t="s">
        <v>120</v>
      </c>
      <c r="D821" s="809"/>
      <c r="E821" s="810" t="s">
        <v>23</v>
      </c>
      <c r="F821" s="721"/>
      <c r="G821" s="721"/>
      <c r="H821" s="721"/>
    </row>
    <row r="822" spans="1:8" ht="12" customHeight="1" x14ac:dyDescent="0.2">
      <c r="A822" s="809"/>
      <c r="B822" s="809"/>
      <c r="C822" s="809"/>
      <c r="D822" s="809"/>
      <c r="E822" s="804" t="s">
        <v>302</v>
      </c>
      <c r="F822" s="721"/>
      <c r="G822" s="721">
        <f>'6 beruházások'!D61</f>
        <v>0</v>
      </c>
      <c r="H822" s="721">
        <f t="shared" si="131"/>
        <v>0</v>
      </c>
    </row>
    <row r="823" spans="1:8" ht="12" customHeight="1" x14ac:dyDescent="0.2">
      <c r="A823" s="809"/>
      <c r="B823" s="809"/>
      <c r="C823" s="809"/>
      <c r="D823" s="809"/>
      <c r="E823" s="804" t="s">
        <v>303</v>
      </c>
      <c r="F823" s="721"/>
      <c r="G823" s="721">
        <f>'6 beruházások'!E61</f>
        <v>154978781</v>
      </c>
      <c r="H823" s="721">
        <f t="shared" si="131"/>
        <v>154978781</v>
      </c>
    </row>
    <row r="824" spans="1:8" ht="12" customHeight="1" x14ac:dyDescent="0.2">
      <c r="A824" s="809"/>
      <c r="B824" s="809"/>
      <c r="C824" s="809"/>
      <c r="D824" s="809"/>
      <c r="E824" s="804" t="s">
        <v>304</v>
      </c>
      <c r="F824" s="721"/>
      <c r="G824" s="721">
        <f>'6 beruházások'!F61</f>
        <v>22420149</v>
      </c>
      <c r="H824" s="721">
        <f t="shared" si="131"/>
        <v>22420149</v>
      </c>
    </row>
    <row r="825" spans="1:8" ht="12" customHeight="1" x14ac:dyDescent="0.2">
      <c r="A825" s="809" t="s">
        <v>4</v>
      </c>
      <c r="B825" s="809"/>
      <c r="C825" s="809" t="s">
        <v>121</v>
      </c>
      <c r="D825" s="809"/>
      <c r="E825" s="810" t="s">
        <v>27</v>
      </c>
      <c r="F825" s="721"/>
      <c r="G825" s="721"/>
      <c r="H825" s="721"/>
    </row>
    <row r="826" spans="1:8" ht="12" customHeight="1" x14ac:dyDescent="0.2">
      <c r="A826" s="809"/>
      <c r="B826" s="809"/>
      <c r="C826" s="809"/>
      <c r="D826" s="809"/>
      <c r="E826" s="804" t="s">
        <v>302</v>
      </c>
      <c r="F826" s="721"/>
      <c r="G826" s="721"/>
      <c r="H826" s="721">
        <f t="shared" si="131"/>
        <v>0</v>
      </c>
    </row>
    <row r="827" spans="1:8" ht="12" customHeight="1" x14ac:dyDescent="0.2">
      <c r="A827" s="809"/>
      <c r="B827" s="809"/>
      <c r="C827" s="809"/>
      <c r="D827" s="809"/>
      <c r="E827" s="804" t="s">
        <v>303</v>
      </c>
      <c r="F827" s="721"/>
      <c r="G827" s="721"/>
      <c r="H827" s="721">
        <f t="shared" si="131"/>
        <v>0</v>
      </c>
    </row>
    <row r="828" spans="1:8" ht="12" customHeight="1" x14ac:dyDescent="0.2">
      <c r="A828" s="809"/>
      <c r="B828" s="809"/>
      <c r="C828" s="809"/>
      <c r="D828" s="809"/>
      <c r="E828" s="804" t="s">
        <v>304</v>
      </c>
      <c r="F828" s="721"/>
      <c r="G828" s="721"/>
      <c r="H828" s="721">
        <f t="shared" si="131"/>
        <v>0</v>
      </c>
    </row>
    <row r="829" spans="1:8" ht="12" customHeight="1" x14ac:dyDescent="0.2">
      <c r="A829" s="1456" t="s">
        <v>122</v>
      </c>
      <c r="B829" s="1456"/>
      <c r="C829" s="1456"/>
      <c r="D829" s="1456"/>
      <c r="E829" s="1456"/>
      <c r="F829" s="164"/>
      <c r="G829" s="164"/>
      <c r="H829" s="164"/>
    </row>
    <row r="830" spans="1:8" ht="12" customHeight="1" x14ac:dyDescent="0.2">
      <c r="A830" s="808"/>
      <c r="B830" s="808"/>
      <c r="C830" s="808"/>
      <c r="D830" s="808"/>
      <c r="E830" s="804" t="s">
        <v>302</v>
      </c>
      <c r="F830" s="164"/>
      <c r="G830" s="164">
        <f>G818+G822+G826</f>
        <v>45658369</v>
      </c>
      <c r="H830" s="164">
        <f>G830</f>
        <v>45658369</v>
      </c>
    </row>
    <row r="831" spans="1:8" ht="12" customHeight="1" x14ac:dyDescent="0.2">
      <c r="A831" s="808"/>
      <c r="B831" s="808"/>
      <c r="C831" s="808"/>
      <c r="D831" s="808"/>
      <c r="E831" s="804" t="s">
        <v>303</v>
      </c>
      <c r="F831" s="164"/>
      <c r="G831" s="164">
        <f>G819+G823+G827</f>
        <v>242389205.57999998</v>
      </c>
      <c r="H831" s="164">
        <f>G831</f>
        <v>242389205.57999998</v>
      </c>
    </row>
    <row r="832" spans="1:8" ht="12" customHeight="1" x14ac:dyDescent="0.2">
      <c r="A832" s="808"/>
      <c r="B832" s="808"/>
      <c r="C832" s="808"/>
      <c r="D832" s="808"/>
      <c r="E832" s="804" t="s">
        <v>304</v>
      </c>
      <c r="F832" s="164"/>
      <c r="G832" s="164">
        <f>G820+G824+G828</f>
        <v>49102277</v>
      </c>
      <c r="H832" s="164">
        <f>G832</f>
        <v>49102277</v>
      </c>
    </row>
    <row r="833" spans="1:8" ht="12" customHeight="1" x14ac:dyDescent="0.2">
      <c r="A833" s="1456" t="s">
        <v>123</v>
      </c>
      <c r="B833" s="1456"/>
      <c r="C833" s="1456"/>
      <c r="D833" s="1456"/>
      <c r="E833" s="1456"/>
      <c r="F833" s="164"/>
      <c r="G833" s="164"/>
      <c r="H833" s="164"/>
    </row>
    <row r="834" spans="1:8" ht="12" customHeight="1" x14ac:dyDescent="0.2">
      <c r="A834" s="808"/>
      <c r="B834" s="808"/>
      <c r="C834" s="808"/>
      <c r="D834" s="808"/>
      <c r="E834" s="804" t="s">
        <v>302</v>
      </c>
      <c r="F834" s="164">
        <f>'5 kiadások'!M351</f>
        <v>25000000</v>
      </c>
      <c r="G834" s="164">
        <v>0</v>
      </c>
      <c r="H834" s="164">
        <f>G834</f>
        <v>0</v>
      </c>
    </row>
    <row r="835" spans="1:8" ht="12" customHeight="1" x14ac:dyDescent="0.2">
      <c r="A835" s="808"/>
      <c r="B835" s="808"/>
      <c r="C835" s="808"/>
      <c r="D835" s="808"/>
      <c r="E835" s="804" t="s">
        <v>303</v>
      </c>
      <c r="F835" s="164">
        <f>'5 kiadások'!M352</f>
        <v>106484529</v>
      </c>
      <c r="G835" s="164">
        <v>0</v>
      </c>
      <c r="H835" s="164">
        <f>F835+G835</f>
        <v>106484529</v>
      </c>
    </row>
    <row r="836" spans="1:8" ht="12" customHeight="1" x14ac:dyDescent="0.2">
      <c r="A836" s="808"/>
      <c r="B836" s="808"/>
      <c r="C836" s="808"/>
      <c r="D836" s="808"/>
      <c r="E836" s="804" t="s">
        <v>304</v>
      </c>
      <c r="F836" s="164">
        <f>'5 kiadások'!M353</f>
        <v>104335639</v>
      </c>
      <c r="G836" s="164">
        <v>0</v>
      </c>
      <c r="H836" s="164">
        <f>F836+G836</f>
        <v>104335639</v>
      </c>
    </row>
    <row r="837" spans="1:8" ht="12" customHeight="1" x14ac:dyDescent="0.2">
      <c r="A837" s="1457" t="s">
        <v>124</v>
      </c>
      <c r="B837" s="1457"/>
      <c r="C837" s="1457"/>
      <c r="D837" s="1457"/>
      <c r="E837" s="1457"/>
      <c r="F837" s="793"/>
      <c r="G837" s="793"/>
      <c r="H837" s="793"/>
    </row>
    <row r="838" spans="1:8" ht="12" customHeight="1" x14ac:dyDescent="0.2">
      <c r="A838" s="1080"/>
      <c r="B838" s="1080"/>
      <c r="C838" s="1080"/>
      <c r="D838" s="1080"/>
      <c r="E838" s="818" t="s">
        <v>302</v>
      </c>
      <c r="F838" s="816">
        <f t="shared" ref="F838:G840" si="132">F813+F830+F834</f>
        <v>314284271</v>
      </c>
      <c r="G838" s="816">
        <f t="shared" si="132"/>
        <v>45658369</v>
      </c>
      <c r="H838" s="816">
        <f>F838+G838</f>
        <v>359942640</v>
      </c>
    </row>
    <row r="839" spans="1:8" ht="12" customHeight="1" x14ac:dyDescent="0.2">
      <c r="A839" s="1080"/>
      <c r="B839" s="1080"/>
      <c r="C839" s="1080"/>
      <c r="D839" s="1080"/>
      <c r="E839" s="818" t="s">
        <v>303</v>
      </c>
      <c r="F839" s="816">
        <f>F814+F831+F835</f>
        <v>427318592.10000002</v>
      </c>
      <c r="G839" s="816">
        <f t="shared" si="132"/>
        <v>242389205.57999998</v>
      </c>
      <c r="H839" s="816">
        <f>F839+G839</f>
        <v>669707797.68000007</v>
      </c>
    </row>
    <row r="840" spans="1:8" ht="12" customHeight="1" x14ac:dyDescent="0.2">
      <c r="A840" s="1080"/>
      <c r="B840" s="1080"/>
      <c r="C840" s="1080"/>
      <c r="D840" s="1080"/>
      <c r="E840" s="818" t="s">
        <v>304</v>
      </c>
      <c r="F840" s="816">
        <f>F815+F832+F836</f>
        <v>404855400.39999998</v>
      </c>
      <c r="G840" s="816">
        <f t="shared" si="132"/>
        <v>49102277</v>
      </c>
      <c r="H840" s="816">
        <f>F840+G840</f>
        <v>453957677.39999998</v>
      </c>
    </row>
  </sheetData>
  <mergeCells count="330">
    <mergeCell ref="A696:B702"/>
    <mergeCell ref="C696:C702"/>
    <mergeCell ref="D697:D699"/>
    <mergeCell ref="D700:D702"/>
    <mergeCell ref="E1:H1"/>
    <mergeCell ref="A649:E649"/>
    <mergeCell ref="G4:G5"/>
    <mergeCell ref="A609:E609"/>
    <mergeCell ref="C778:C781"/>
    <mergeCell ref="D778:D781"/>
    <mergeCell ref="D774:D777"/>
    <mergeCell ref="D770:D773"/>
    <mergeCell ref="A770:B773"/>
    <mergeCell ref="A774:B777"/>
    <mergeCell ref="A778:B781"/>
    <mergeCell ref="A703:B709"/>
    <mergeCell ref="C703:C709"/>
    <mergeCell ref="D704:D706"/>
    <mergeCell ref="D707:D709"/>
    <mergeCell ref="A731:B737"/>
    <mergeCell ref="A738:B744"/>
    <mergeCell ref="C731:C737"/>
    <mergeCell ref="C739:C744"/>
    <mergeCell ref="D732:D734"/>
    <mergeCell ref="D735:D737"/>
    <mergeCell ref="D739:D741"/>
    <mergeCell ref="D742:D744"/>
    <mergeCell ref="H4:H5"/>
    <mergeCell ref="C4:C5"/>
    <mergeCell ref="E4:E5"/>
    <mergeCell ref="D6:H6"/>
    <mergeCell ref="D4:D5"/>
    <mergeCell ref="F4:F5"/>
    <mergeCell ref="A8:E8"/>
    <mergeCell ref="A404:E404"/>
    <mergeCell ref="A569:E569"/>
    <mergeCell ref="A541:E541"/>
    <mergeCell ref="D476:D479"/>
    <mergeCell ref="C476:C487"/>
    <mergeCell ref="A476:B487"/>
    <mergeCell ref="D480:D483"/>
    <mergeCell ref="D484:D487"/>
    <mergeCell ref="A537:E537"/>
    <mergeCell ref="A585:E585"/>
    <mergeCell ref="A646:E646"/>
    <mergeCell ref="A647:E647"/>
    <mergeCell ref="A573:E573"/>
    <mergeCell ref="A613:E613"/>
    <mergeCell ref="D528:D531"/>
    <mergeCell ref="D532:D535"/>
    <mergeCell ref="D525:D527"/>
    <mergeCell ref="A525:C535"/>
    <mergeCell ref="A581:E581"/>
    <mergeCell ref="A577:E577"/>
    <mergeCell ref="A642:E642"/>
    <mergeCell ref="D508:D511"/>
    <mergeCell ref="D512:D515"/>
    <mergeCell ref="D516:D519"/>
    <mergeCell ref="D520:D523"/>
    <mergeCell ref="A488:C523"/>
    <mergeCell ref="D492:D495"/>
    <mergeCell ref="D496:D499"/>
    <mergeCell ref="D488:D491"/>
    <mergeCell ref="D500:D503"/>
    <mergeCell ref="D504:D507"/>
    <mergeCell ref="A538:D540"/>
    <mergeCell ref="A570:D572"/>
    <mergeCell ref="A557:B560"/>
    <mergeCell ref="C557:C560"/>
    <mergeCell ref="D557:D560"/>
    <mergeCell ref="A561:B564"/>
    <mergeCell ref="C561:C564"/>
    <mergeCell ref="A9:D11"/>
    <mergeCell ref="D12:D15"/>
    <mergeCell ref="D16:D19"/>
    <mergeCell ref="D20:D31"/>
    <mergeCell ref="C20:C31"/>
    <mergeCell ref="A20:B31"/>
    <mergeCell ref="D465:D467"/>
    <mergeCell ref="D468:D471"/>
    <mergeCell ref="D472:D475"/>
    <mergeCell ref="A465:C475"/>
    <mergeCell ref="A12:C19"/>
    <mergeCell ref="A32:C67"/>
    <mergeCell ref="D32:D35"/>
    <mergeCell ref="D36:D39"/>
    <mergeCell ref="D40:D43"/>
    <mergeCell ref="D44:D47"/>
    <mergeCell ref="D48:D51"/>
    <mergeCell ref="D52:D55"/>
    <mergeCell ref="D56:D59"/>
    <mergeCell ref="D60:D63"/>
    <mergeCell ref="D64:D67"/>
    <mergeCell ref="A68:B79"/>
    <mergeCell ref="A464:E464"/>
    <mergeCell ref="C68:C79"/>
    <mergeCell ref="D68:D79"/>
    <mergeCell ref="A356:B367"/>
    <mergeCell ref="C356:C367"/>
    <mergeCell ref="D356:D367"/>
    <mergeCell ref="D248:D251"/>
    <mergeCell ref="D252:D255"/>
    <mergeCell ref="D256:D259"/>
    <mergeCell ref="A224:C259"/>
    <mergeCell ref="A116:B127"/>
    <mergeCell ref="C116:C127"/>
    <mergeCell ref="D116:D119"/>
    <mergeCell ref="D120:D123"/>
    <mergeCell ref="D124:D127"/>
    <mergeCell ref="D260:D263"/>
    <mergeCell ref="A212:B223"/>
    <mergeCell ref="C212:C223"/>
    <mergeCell ref="D212:D215"/>
    <mergeCell ref="D216:D219"/>
    <mergeCell ref="D220:D223"/>
    <mergeCell ref="D224:D227"/>
    <mergeCell ref="D228:D231"/>
    <mergeCell ref="D232:D235"/>
    <mergeCell ref="D236:D239"/>
    <mergeCell ref="D240:D243"/>
    <mergeCell ref="A416:B427"/>
    <mergeCell ref="C416:C427"/>
    <mergeCell ref="D416:D419"/>
    <mergeCell ref="D420:D423"/>
    <mergeCell ref="D424:D427"/>
    <mergeCell ref="A368:C403"/>
    <mergeCell ref="D368:D371"/>
    <mergeCell ref="D372:D375"/>
    <mergeCell ref="D376:D379"/>
    <mergeCell ref="D380:D383"/>
    <mergeCell ref="D384:D387"/>
    <mergeCell ref="D388:D391"/>
    <mergeCell ref="D392:D395"/>
    <mergeCell ref="D396:D399"/>
    <mergeCell ref="D400:D403"/>
    <mergeCell ref="A405:D407"/>
    <mergeCell ref="D408:D411"/>
    <mergeCell ref="D412:D415"/>
    <mergeCell ref="A408:C415"/>
    <mergeCell ref="A428:B463"/>
    <mergeCell ref="C428:C463"/>
    <mergeCell ref="D428:D431"/>
    <mergeCell ref="D432:D435"/>
    <mergeCell ref="D436:D439"/>
    <mergeCell ref="D440:D443"/>
    <mergeCell ref="D444:D447"/>
    <mergeCell ref="D448:D451"/>
    <mergeCell ref="D452:D455"/>
    <mergeCell ref="D456:D459"/>
    <mergeCell ref="D460:D463"/>
    <mergeCell ref="D244:D247"/>
    <mergeCell ref="A813:D815"/>
    <mergeCell ref="A757:E757"/>
    <mergeCell ref="A761:E761"/>
    <mergeCell ref="E762:G762"/>
    <mergeCell ref="A749:B756"/>
    <mergeCell ref="D749:D750"/>
    <mergeCell ref="D751:D753"/>
    <mergeCell ref="D754:D756"/>
    <mergeCell ref="A746:D748"/>
    <mergeCell ref="A808:B811"/>
    <mergeCell ref="C792:D795"/>
    <mergeCell ref="C796:D799"/>
    <mergeCell ref="A766:E766"/>
    <mergeCell ref="C770:C777"/>
    <mergeCell ref="E770:G770"/>
    <mergeCell ref="C800:D803"/>
    <mergeCell ref="C804:D807"/>
    <mergeCell ref="C808:D811"/>
    <mergeCell ref="D264:D267"/>
    <mergeCell ref="D268:D271"/>
    <mergeCell ref="D272:D275"/>
    <mergeCell ref="D276:D279"/>
    <mergeCell ref="D280:D283"/>
    <mergeCell ref="D128:D131"/>
    <mergeCell ref="A128:C163"/>
    <mergeCell ref="D132:D135"/>
    <mergeCell ref="D136:D139"/>
    <mergeCell ref="D140:D143"/>
    <mergeCell ref="D144:D147"/>
    <mergeCell ref="D148:D151"/>
    <mergeCell ref="D152:D155"/>
    <mergeCell ref="D156:D159"/>
    <mergeCell ref="D160:D163"/>
    <mergeCell ref="C816:E816"/>
    <mergeCell ref="A829:E829"/>
    <mergeCell ref="A833:E833"/>
    <mergeCell ref="A837:E837"/>
    <mergeCell ref="A260:B271"/>
    <mergeCell ref="C260:C271"/>
    <mergeCell ref="A654:E654"/>
    <mergeCell ref="A666:E666"/>
    <mergeCell ref="A674:E674"/>
    <mergeCell ref="A745:E745"/>
    <mergeCell ref="E749:E750"/>
    <mergeCell ref="A782:E782"/>
    <mergeCell ref="A786:E786"/>
    <mergeCell ref="A790:H790"/>
    <mergeCell ref="A812:E812"/>
    <mergeCell ref="A792:B795"/>
    <mergeCell ref="A796:B799"/>
    <mergeCell ref="A800:B803"/>
    <mergeCell ref="A804:B807"/>
    <mergeCell ref="A320:C355"/>
    <mergeCell ref="D320:D323"/>
    <mergeCell ref="D324:D327"/>
    <mergeCell ref="D328:D331"/>
    <mergeCell ref="D332:D335"/>
    <mergeCell ref="D336:D339"/>
    <mergeCell ref="A272:C307"/>
    <mergeCell ref="A308:B319"/>
    <mergeCell ref="C308:C319"/>
    <mergeCell ref="D312:D315"/>
    <mergeCell ref="D316:D319"/>
    <mergeCell ref="D284:D287"/>
    <mergeCell ref="D288:D291"/>
    <mergeCell ref="D292:D295"/>
    <mergeCell ref="D296:D299"/>
    <mergeCell ref="D300:D303"/>
    <mergeCell ref="A7:H7"/>
    <mergeCell ref="C545:C548"/>
    <mergeCell ref="D545:D548"/>
    <mergeCell ref="A545:B548"/>
    <mergeCell ref="A542:D544"/>
    <mergeCell ref="A164:B175"/>
    <mergeCell ref="C164:C175"/>
    <mergeCell ref="D164:D167"/>
    <mergeCell ref="D168:D171"/>
    <mergeCell ref="D172:D175"/>
    <mergeCell ref="A176:C211"/>
    <mergeCell ref="D176:D179"/>
    <mergeCell ref="D180:D183"/>
    <mergeCell ref="D184:D187"/>
    <mergeCell ref="D188:D191"/>
    <mergeCell ref="D192:D195"/>
    <mergeCell ref="D196:D199"/>
    <mergeCell ref="D200:D203"/>
    <mergeCell ref="D204:D207"/>
    <mergeCell ref="D208:D211"/>
    <mergeCell ref="D340:D343"/>
    <mergeCell ref="D344:D347"/>
    <mergeCell ref="D348:D351"/>
    <mergeCell ref="D352:D355"/>
    <mergeCell ref="D561:D564"/>
    <mergeCell ref="A549:B552"/>
    <mergeCell ref="C549:C552"/>
    <mergeCell ref="D549:D552"/>
    <mergeCell ref="A553:B556"/>
    <mergeCell ref="C553:C556"/>
    <mergeCell ref="D553:D556"/>
    <mergeCell ref="A574:D576"/>
    <mergeCell ref="A578:D580"/>
    <mergeCell ref="A582:D584"/>
    <mergeCell ref="A589:B592"/>
    <mergeCell ref="C589:C592"/>
    <mergeCell ref="D589:D592"/>
    <mergeCell ref="A586:D588"/>
    <mergeCell ref="C565:C568"/>
    <mergeCell ref="A565:B568"/>
    <mergeCell ref="D565:D568"/>
    <mergeCell ref="A601:B604"/>
    <mergeCell ref="C601:C604"/>
    <mergeCell ref="D601:D604"/>
    <mergeCell ref="A605:B608"/>
    <mergeCell ref="C605:C608"/>
    <mergeCell ref="D605:D608"/>
    <mergeCell ref="A593:B596"/>
    <mergeCell ref="C593:C596"/>
    <mergeCell ref="D593:D596"/>
    <mergeCell ref="A597:B600"/>
    <mergeCell ref="C597:C600"/>
    <mergeCell ref="D597:D600"/>
    <mergeCell ref="A621:B624"/>
    <mergeCell ref="C621:C624"/>
    <mergeCell ref="D621:D624"/>
    <mergeCell ref="A625:E625"/>
    <mergeCell ref="A626:D628"/>
    <mergeCell ref="A610:D612"/>
    <mergeCell ref="A614:D616"/>
    <mergeCell ref="A617:B620"/>
    <mergeCell ref="C617:C620"/>
    <mergeCell ref="D617:D620"/>
    <mergeCell ref="A643:D645"/>
    <mergeCell ref="A650:B653"/>
    <mergeCell ref="C650:C653"/>
    <mergeCell ref="D650:D653"/>
    <mergeCell ref="A658:B661"/>
    <mergeCell ref="A655:D657"/>
    <mergeCell ref="A629:B632"/>
    <mergeCell ref="C629:C632"/>
    <mergeCell ref="D629:D632"/>
    <mergeCell ref="A633:B636"/>
    <mergeCell ref="A637:B641"/>
    <mergeCell ref="C633:C636"/>
    <mergeCell ref="C637:C641"/>
    <mergeCell ref="D633:D636"/>
    <mergeCell ref="D637:D641"/>
    <mergeCell ref="A648:E648"/>
    <mergeCell ref="A689:B695"/>
    <mergeCell ref="C689:C695"/>
    <mergeCell ref="D690:D692"/>
    <mergeCell ref="D693:D695"/>
    <mergeCell ref="A662:B665"/>
    <mergeCell ref="C658:C661"/>
    <mergeCell ref="C662:C665"/>
    <mergeCell ref="D658:D661"/>
    <mergeCell ref="D662:D665"/>
    <mergeCell ref="D668:D670"/>
    <mergeCell ref="D671:D673"/>
    <mergeCell ref="A667:B673"/>
    <mergeCell ref="C667:C673"/>
    <mergeCell ref="A678:B681"/>
    <mergeCell ref="C678:C681"/>
    <mergeCell ref="D678:D681"/>
    <mergeCell ref="A682:B688"/>
    <mergeCell ref="C682:C688"/>
    <mergeCell ref="D683:D685"/>
    <mergeCell ref="D686:D688"/>
    <mergeCell ref="A717:B723"/>
    <mergeCell ref="C717:C723"/>
    <mergeCell ref="D718:D720"/>
    <mergeCell ref="D721:D723"/>
    <mergeCell ref="A724:B730"/>
    <mergeCell ref="C724:C730"/>
    <mergeCell ref="D725:D727"/>
    <mergeCell ref="D728:D730"/>
    <mergeCell ref="D711:D713"/>
    <mergeCell ref="D714:D716"/>
    <mergeCell ref="A710:B716"/>
    <mergeCell ref="C710:C716"/>
  </mergeCells>
  <phoneticPr fontId="39" type="noConversion"/>
  <printOptions horizontalCentered="1" verticalCentered="1"/>
  <pageMargins left="0.78740157480314965" right="0.78740157480314965" top="0.39370078740157483" bottom="0.39370078740157483" header="0.51181102362204722" footer="0.11811023622047245"/>
  <pageSetup paperSize="8" scale="6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5"/>
  <sheetViews>
    <sheetView view="pageBreakPreview" zoomScaleSheetLayoutView="100" workbookViewId="0">
      <selection activeCell="J11" sqref="J11:J15"/>
    </sheetView>
  </sheetViews>
  <sheetFormatPr defaultRowHeight="12.75" x14ac:dyDescent="0.2"/>
  <cols>
    <col min="1" max="1" width="5" customWidth="1"/>
    <col min="2" max="2" width="8.7109375" customWidth="1"/>
    <col min="3" max="3" width="20.140625" style="12" customWidth="1"/>
    <col min="4" max="4" width="12.140625" style="13" customWidth="1"/>
    <col min="5" max="5" width="11.140625" style="13" customWidth="1"/>
    <col min="6" max="6" width="12" style="13" customWidth="1"/>
    <col min="7" max="7" width="8.85546875" style="13" customWidth="1"/>
    <col min="8" max="8" width="11.7109375" style="13" customWidth="1"/>
    <col min="9" max="9" width="11.85546875" customWidth="1"/>
    <col min="10" max="10" width="10.42578125" customWidth="1"/>
    <col min="11" max="11" width="12.85546875" customWidth="1"/>
    <col min="12" max="13" width="8.85546875" customWidth="1"/>
    <col min="14" max="14" width="11.28515625" style="20" customWidth="1"/>
    <col min="15" max="15" width="9.7109375" bestFit="1" customWidth="1"/>
    <col min="16" max="18" width="10.7109375" bestFit="1" customWidth="1"/>
  </cols>
  <sheetData>
    <row r="1" spans="1:16" ht="15.7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596"/>
      <c r="L1" s="1596"/>
      <c r="M1" s="1596"/>
      <c r="N1" s="1596"/>
    </row>
    <row r="2" spans="1:16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9"/>
    </row>
    <row r="3" spans="1:16" ht="20.2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597"/>
      <c r="N3" s="1597"/>
      <c r="P3" s="104"/>
    </row>
    <row r="4" spans="1:16" ht="21" customHeight="1" x14ac:dyDescent="0.2">
      <c r="A4" s="1589" t="s">
        <v>28</v>
      </c>
      <c r="B4" s="1593" t="s">
        <v>176</v>
      </c>
      <c r="C4" s="1589" t="s">
        <v>183</v>
      </c>
      <c r="D4" s="1590" t="s">
        <v>184</v>
      </c>
      <c r="E4" s="1590"/>
      <c r="F4" s="1590"/>
      <c r="G4" s="1590"/>
      <c r="H4" s="1590"/>
      <c r="I4" s="1590"/>
      <c r="J4" s="1589" t="s">
        <v>185</v>
      </c>
      <c r="K4" s="1589"/>
      <c r="L4" s="1589"/>
      <c r="M4" s="1589"/>
      <c r="N4" s="1589" t="s">
        <v>16</v>
      </c>
    </row>
    <row r="5" spans="1:16" s="24" customFormat="1" ht="24" customHeight="1" x14ac:dyDescent="0.2">
      <c r="A5" s="1589"/>
      <c r="B5" s="1593"/>
      <c r="C5" s="1589"/>
      <c r="D5" s="1589" t="s">
        <v>149</v>
      </c>
      <c r="E5" s="1589" t="s">
        <v>151</v>
      </c>
      <c r="F5" s="1589" t="s">
        <v>147</v>
      </c>
      <c r="G5" s="1592" t="s">
        <v>198</v>
      </c>
      <c r="H5" s="1589" t="s">
        <v>150</v>
      </c>
      <c r="I5" s="1589" t="s">
        <v>148</v>
      </c>
      <c r="J5" s="1589"/>
      <c r="K5" s="1589"/>
      <c r="L5" s="1589"/>
      <c r="M5" s="1589"/>
      <c r="N5" s="1589"/>
    </row>
    <row r="6" spans="1:16" s="24" customFormat="1" ht="38.25" customHeight="1" x14ac:dyDescent="0.2">
      <c r="A6" s="1589"/>
      <c r="B6" s="1593"/>
      <c r="C6" s="1589"/>
      <c r="D6" s="1589"/>
      <c r="E6" s="1589"/>
      <c r="F6" s="1589"/>
      <c r="G6" s="1592"/>
      <c r="H6" s="1589"/>
      <c r="I6" s="1589"/>
      <c r="J6" s="1589" t="s">
        <v>169</v>
      </c>
      <c r="K6" s="1589"/>
      <c r="L6" s="1589" t="s">
        <v>195</v>
      </c>
      <c r="M6" s="1591"/>
      <c r="N6" s="1589"/>
    </row>
    <row r="7" spans="1:16" s="24" customFormat="1" ht="12.75" customHeight="1" x14ac:dyDescent="0.2">
      <c r="A7" s="1589"/>
      <c r="B7" s="1593"/>
      <c r="C7" s="1589"/>
      <c r="D7" s="1589"/>
      <c r="E7" s="1589"/>
      <c r="F7" s="1589"/>
      <c r="G7" s="1592"/>
      <c r="H7" s="1589"/>
      <c r="I7" s="1589"/>
      <c r="J7" s="1589" t="s">
        <v>52</v>
      </c>
      <c r="K7" s="1589" t="s">
        <v>14</v>
      </c>
      <c r="L7" s="1589" t="s">
        <v>14</v>
      </c>
      <c r="M7" s="1589" t="s">
        <v>52</v>
      </c>
      <c r="N7" s="1589"/>
    </row>
    <row r="8" spans="1:16" s="24" customFormat="1" ht="15" customHeight="1" x14ac:dyDescent="0.2">
      <c r="A8" s="1589"/>
      <c r="B8" s="1593"/>
      <c r="C8" s="1589"/>
      <c r="D8" s="1589"/>
      <c r="E8" s="1589"/>
      <c r="F8" s="1589"/>
      <c r="G8" s="1592"/>
      <c r="H8" s="1589"/>
      <c r="I8" s="1589"/>
      <c r="J8" s="1591"/>
      <c r="K8" s="1591"/>
      <c r="L8" s="1591"/>
      <c r="M8" s="1591"/>
      <c r="N8" s="1589"/>
    </row>
    <row r="9" spans="1:16" s="24" customFormat="1" ht="39" customHeight="1" x14ac:dyDescent="0.2">
      <c r="A9" s="1580">
        <v>1</v>
      </c>
      <c r="B9" s="1204"/>
      <c r="C9" s="1280" t="s">
        <v>211</v>
      </c>
      <c r="D9" s="148"/>
      <c r="E9" s="1201"/>
      <c r="F9" s="1201"/>
      <c r="G9" s="149"/>
      <c r="H9" s="1201"/>
      <c r="I9" s="1201"/>
      <c r="J9" s="1203"/>
      <c r="K9" s="150"/>
      <c r="L9" s="1203"/>
      <c r="M9" s="1203"/>
      <c r="N9" s="148"/>
      <c r="P9" s="190"/>
    </row>
    <row r="10" spans="1:16" s="24" customFormat="1" ht="18" customHeight="1" x14ac:dyDescent="0.2">
      <c r="A10" s="1581"/>
      <c r="B10" s="1583"/>
      <c r="C10" s="1281" t="s">
        <v>302</v>
      </c>
      <c r="D10" s="741">
        <f>D14+D18</f>
        <v>38000</v>
      </c>
      <c r="E10" s="741">
        <f t="shared" ref="E10:M10" si="0">E14+E18</f>
        <v>0</v>
      </c>
      <c r="F10" s="741">
        <f t="shared" si="0"/>
        <v>0</v>
      </c>
      <c r="G10" s="741">
        <f t="shared" si="0"/>
        <v>1000000</v>
      </c>
      <c r="H10" s="741">
        <f t="shared" si="0"/>
        <v>0</v>
      </c>
      <c r="I10" s="741">
        <f t="shared" si="0"/>
        <v>0</v>
      </c>
      <c r="J10" s="741">
        <f t="shared" si="0"/>
        <v>0</v>
      </c>
      <c r="K10" s="741">
        <f t="shared" si="0"/>
        <v>47163107</v>
      </c>
      <c r="L10" s="741">
        <f t="shared" si="0"/>
        <v>0</v>
      </c>
      <c r="M10" s="741">
        <f t="shared" si="0"/>
        <v>0</v>
      </c>
      <c r="N10" s="150">
        <f>SUM(D10:M10)</f>
        <v>48201107</v>
      </c>
      <c r="P10" s="190"/>
    </row>
    <row r="11" spans="1:16" s="24" customFormat="1" ht="16.5" customHeight="1" x14ac:dyDescent="0.2">
      <c r="A11" s="1581"/>
      <c r="B11" s="1584"/>
      <c r="C11" s="1281" t="s">
        <v>303</v>
      </c>
      <c r="D11" s="741">
        <f t="shared" ref="D11:M12" si="1">D15+D19</f>
        <v>343008</v>
      </c>
      <c r="E11" s="741">
        <f t="shared" si="1"/>
        <v>0</v>
      </c>
      <c r="F11" s="741">
        <f t="shared" si="1"/>
        <v>0</v>
      </c>
      <c r="G11" s="741">
        <f t="shared" si="1"/>
        <v>1000000</v>
      </c>
      <c r="H11" s="741">
        <f t="shared" si="1"/>
        <v>0</v>
      </c>
      <c r="I11" s="741">
        <f t="shared" si="1"/>
        <v>0</v>
      </c>
      <c r="J11" s="1038">
        <v>573005</v>
      </c>
      <c r="K11" s="1282">
        <f>K15+K19</f>
        <v>47435050</v>
      </c>
      <c r="L11" s="741">
        <f t="shared" si="1"/>
        <v>0</v>
      </c>
      <c r="M11" s="741">
        <f t="shared" si="1"/>
        <v>0</v>
      </c>
      <c r="N11" s="150">
        <f t="shared" ref="N11:N48" si="2">SUM(D11:M11)</f>
        <v>49351063</v>
      </c>
      <c r="P11" s="190"/>
    </row>
    <row r="12" spans="1:16" s="24" customFormat="1" ht="18.75" customHeight="1" x14ac:dyDescent="0.2">
      <c r="A12" s="1581"/>
      <c r="B12" s="1585"/>
      <c r="C12" s="1281" t="s">
        <v>304</v>
      </c>
      <c r="D12" s="741">
        <f t="shared" si="1"/>
        <v>594072</v>
      </c>
      <c r="E12" s="741">
        <f t="shared" si="1"/>
        <v>0</v>
      </c>
      <c r="F12" s="741">
        <f t="shared" si="1"/>
        <v>0</v>
      </c>
      <c r="G12" s="741">
        <f t="shared" si="1"/>
        <v>0</v>
      </c>
      <c r="H12" s="741">
        <f t="shared" si="1"/>
        <v>0</v>
      </c>
      <c r="I12" s="741">
        <f t="shared" si="1"/>
        <v>0</v>
      </c>
      <c r="J12" s="1038">
        <f t="shared" si="1"/>
        <v>573005</v>
      </c>
      <c r="K12" s="1282">
        <f>K16+K20</f>
        <v>42739310</v>
      </c>
      <c r="L12" s="741">
        <f t="shared" si="1"/>
        <v>0</v>
      </c>
      <c r="M12" s="741">
        <f t="shared" si="1"/>
        <v>0</v>
      </c>
      <c r="N12" s="150">
        <f t="shared" si="2"/>
        <v>43906387</v>
      </c>
      <c r="P12" s="190"/>
    </row>
    <row r="13" spans="1:16" s="24" customFormat="1" ht="26.25" customHeight="1" x14ac:dyDescent="0.2">
      <c r="A13" s="1581"/>
      <c r="B13" s="1586" t="s">
        <v>54</v>
      </c>
      <c r="C13" s="151" t="s">
        <v>73</v>
      </c>
      <c r="D13" s="150"/>
      <c r="E13" s="1201"/>
      <c r="F13" s="1201"/>
      <c r="G13" s="149"/>
      <c r="H13" s="1201"/>
      <c r="I13" s="1201"/>
      <c r="J13" s="1285"/>
      <c r="K13" s="1266"/>
      <c r="L13" s="1203"/>
      <c r="M13" s="1203"/>
      <c r="N13" s="150"/>
    </row>
    <row r="14" spans="1:16" s="24" customFormat="1" ht="21.75" customHeight="1" x14ac:dyDescent="0.2">
      <c r="A14" s="1581"/>
      <c r="B14" s="1587"/>
      <c r="C14" s="713" t="s">
        <v>302</v>
      </c>
      <c r="D14" s="150">
        <v>38000</v>
      </c>
      <c r="E14" s="1201"/>
      <c r="F14" s="1201"/>
      <c r="G14" s="1283">
        <v>1000000</v>
      </c>
      <c r="H14" s="1201"/>
      <c r="I14" s="1201"/>
      <c r="J14" s="1285"/>
      <c r="K14" s="1266">
        <v>47163107</v>
      </c>
      <c r="L14" s="1203"/>
      <c r="M14" s="1203"/>
      <c r="N14" s="150">
        <f>SUM(D14:M14)</f>
        <v>48201107</v>
      </c>
    </row>
    <row r="15" spans="1:16" s="24" customFormat="1" ht="19.5" customHeight="1" x14ac:dyDescent="0.2">
      <c r="A15" s="1581"/>
      <c r="B15" s="1587"/>
      <c r="C15" s="713" t="s">
        <v>303</v>
      </c>
      <c r="D15" s="150">
        <v>343008</v>
      </c>
      <c r="E15" s="1201"/>
      <c r="F15" s="1201"/>
      <c r="G15" s="1283">
        <v>1000000</v>
      </c>
      <c r="H15" s="1201"/>
      <c r="I15" s="1201"/>
      <c r="J15" s="1285">
        <v>573005</v>
      </c>
      <c r="K15" s="1266">
        <f>48008055-J15</f>
        <v>47435050</v>
      </c>
      <c r="L15" s="1203"/>
      <c r="M15" s="1203"/>
      <c r="N15" s="150">
        <f>SUM(D15:M15)</f>
        <v>49351063</v>
      </c>
    </row>
    <row r="16" spans="1:16" s="24" customFormat="1" ht="23.25" customHeight="1" x14ac:dyDescent="0.2">
      <c r="A16" s="1581"/>
      <c r="B16" s="1588"/>
      <c r="C16" s="713" t="s">
        <v>304</v>
      </c>
      <c r="D16" s="150">
        <v>594072</v>
      </c>
      <c r="E16" s="1201"/>
      <c r="F16" s="1201"/>
      <c r="G16" s="1283">
        <v>0</v>
      </c>
      <c r="H16" s="1201"/>
      <c r="I16" s="1201"/>
      <c r="J16" s="1266">
        <v>573005</v>
      </c>
      <c r="K16" s="1266">
        <f>43312315-J16</f>
        <v>42739310</v>
      </c>
      <c r="L16" s="1203"/>
      <c r="M16" s="1203"/>
      <c r="N16" s="150">
        <f>SUM(D16:M16)</f>
        <v>43906387</v>
      </c>
    </row>
    <row r="17" spans="1:18" s="24" customFormat="1" ht="27.75" customHeight="1" x14ac:dyDescent="0.2">
      <c r="A17" s="1581"/>
      <c r="B17" s="1586" t="s">
        <v>55</v>
      </c>
      <c r="C17" s="151" t="s">
        <v>72</v>
      </c>
      <c r="D17" s="148"/>
      <c r="E17" s="497"/>
      <c r="F17" s="497"/>
      <c r="G17" s="149"/>
      <c r="H17" s="497"/>
      <c r="I17" s="497"/>
      <c r="J17" s="1266"/>
      <c r="K17" s="1266"/>
      <c r="L17" s="498"/>
      <c r="M17" s="498"/>
      <c r="N17" s="150">
        <f t="shared" si="2"/>
        <v>0</v>
      </c>
    </row>
    <row r="18" spans="1:18" s="24" customFormat="1" ht="20.25" customHeight="1" x14ac:dyDescent="0.2">
      <c r="A18" s="1581"/>
      <c r="B18" s="1587"/>
      <c r="C18" s="713" t="s">
        <v>302</v>
      </c>
      <c r="D18" s="148"/>
      <c r="E18" s="497"/>
      <c r="F18" s="497"/>
      <c r="G18" s="149"/>
      <c r="H18" s="497"/>
      <c r="I18" s="497"/>
      <c r="J18" s="498"/>
      <c r="K18" s="150"/>
      <c r="L18" s="498"/>
      <c r="M18" s="498"/>
      <c r="N18" s="150">
        <f t="shared" si="2"/>
        <v>0</v>
      </c>
    </row>
    <row r="19" spans="1:18" s="24" customFormat="1" ht="23.25" customHeight="1" x14ac:dyDescent="0.2">
      <c r="A19" s="1581"/>
      <c r="B19" s="1587"/>
      <c r="C19" s="713" t="s">
        <v>303</v>
      </c>
      <c r="D19" s="148"/>
      <c r="E19" s="497"/>
      <c r="F19" s="497"/>
      <c r="G19" s="149"/>
      <c r="H19" s="497"/>
      <c r="I19" s="497"/>
      <c r="J19" s="498"/>
      <c r="K19" s="150"/>
      <c r="L19" s="498"/>
      <c r="M19" s="498"/>
      <c r="N19" s="150">
        <f t="shared" si="2"/>
        <v>0</v>
      </c>
    </row>
    <row r="20" spans="1:18" s="24" customFormat="1" ht="20.25" customHeight="1" x14ac:dyDescent="0.2">
      <c r="A20" s="1582"/>
      <c r="B20" s="1588"/>
      <c r="C20" s="713" t="s">
        <v>304</v>
      </c>
      <c r="D20" s="148"/>
      <c r="E20" s="497"/>
      <c r="F20" s="497"/>
      <c r="G20" s="149"/>
      <c r="H20" s="497"/>
      <c r="I20" s="497"/>
      <c r="J20" s="498"/>
      <c r="K20" s="150"/>
      <c r="L20" s="498"/>
      <c r="M20" s="498"/>
      <c r="N20" s="150">
        <f t="shared" si="2"/>
        <v>0</v>
      </c>
    </row>
    <row r="21" spans="1:18" ht="37.5" customHeight="1" x14ac:dyDescent="0.2">
      <c r="A21" s="1577">
        <v>2</v>
      </c>
      <c r="B21" s="1577"/>
      <c r="C21" s="152" t="s">
        <v>191</v>
      </c>
      <c r="D21" s="726"/>
      <c r="E21" s="153"/>
      <c r="F21" s="153"/>
      <c r="G21" s="153"/>
      <c r="H21" s="153"/>
      <c r="I21" s="153"/>
      <c r="J21" s="153"/>
      <c r="K21" s="153"/>
      <c r="L21" s="153"/>
      <c r="M21" s="153"/>
      <c r="N21" s="150"/>
      <c r="O21" s="1594"/>
      <c r="P21" s="1595"/>
    </row>
    <row r="22" spans="1:18" s="130" customFormat="1" ht="22.5" customHeight="1" x14ac:dyDescent="0.2">
      <c r="A22" s="1578"/>
      <c r="B22" s="1578"/>
      <c r="C22" s="713" t="s">
        <v>302</v>
      </c>
      <c r="D22" s="726">
        <f t="shared" ref="D22:M22" si="3">D26+D30</f>
        <v>11927081</v>
      </c>
      <c r="E22" s="726">
        <f t="shared" si="3"/>
        <v>0</v>
      </c>
      <c r="F22" s="726">
        <f t="shared" si="3"/>
        <v>0</v>
      </c>
      <c r="G22" s="726">
        <f t="shared" si="3"/>
        <v>0</v>
      </c>
      <c r="H22" s="726">
        <f t="shared" si="3"/>
        <v>0</v>
      </c>
      <c r="I22" s="726">
        <f t="shared" si="3"/>
        <v>0</v>
      </c>
      <c r="J22" s="726">
        <f t="shared" si="3"/>
        <v>1000000</v>
      </c>
      <c r="K22" s="726">
        <f>K26+K30</f>
        <v>47313069</v>
      </c>
      <c r="L22" s="726">
        <f t="shared" si="3"/>
        <v>0</v>
      </c>
      <c r="M22" s="726">
        <f t="shared" si="3"/>
        <v>0</v>
      </c>
      <c r="N22" s="150">
        <f t="shared" si="2"/>
        <v>60240150</v>
      </c>
      <c r="O22" s="723"/>
      <c r="P22" s="499"/>
    </row>
    <row r="23" spans="1:18" s="130" customFormat="1" ht="22.5" customHeight="1" x14ac:dyDescent="0.2">
      <c r="A23" s="1578"/>
      <c r="B23" s="1578"/>
      <c r="C23" s="713" t="s">
        <v>303</v>
      </c>
      <c r="D23" s="726">
        <f t="shared" ref="D23:L23" si="4">D27+D31</f>
        <v>11927081</v>
      </c>
      <c r="E23" s="726">
        <f t="shared" si="4"/>
        <v>0</v>
      </c>
      <c r="F23" s="726">
        <f t="shared" si="4"/>
        <v>0</v>
      </c>
      <c r="G23" s="726">
        <f t="shared" si="4"/>
        <v>0</v>
      </c>
      <c r="H23" s="726">
        <f t="shared" si="4"/>
        <v>0</v>
      </c>
      <c r="I23" s="726">
        <f t="shared" si="4"/>
        <v>0</v>
      </c>
      <c r="J23" s="726">
        <f t="shared" si="4"/>
        <v>1000000</v>
      </c>
      <c r="K23" s="726">
        <f t="shared" si="4"/>
        <v>47656913</v>
      </c>
      <c r="L23" s="726">
        <f t="shared" si="4"/>
        <v>80622</v>
      </c>
      <c r="M23" s="153"/>
      <c r="N23" s="150">
        <f t="shared" si="2"/>
        <v>60664616</v>
      </c>
      <c r="O23" s="723"/>
      <c r="P23" s="499"/>
    </row>
    <row r="24" spans="1:18" s="130" customFormat="1" ht="20.25" customHeight="1" x14ac:dyDescent="0.2">
      <c r="A24" s="1578"/>
      <c r="B24" s="1579"/>
      <c r="C24" s="713" t="s">
        <v>304</v>
      </c>
      <c r="D24" s="726">
        <f t="shared" ref="D24:L24" si="5">D28+D32</f>
        <v>11621241</v>
      </c>
      <c r="E24" s="726">
        <f t="shared" si="5"/>
        <v>0</v>
      </c>
      <c r="F24" s="726">
        <f t="shared" si="5"/>
        <v>0</v>
      </c>
      <c r="G24" s="726">
        <f t="shared" si="5"/>
        <v>0</v>
      </c>
      <c r="H24" s="726">
        <f t="shared" si="5"/>
        <v>0</v>
      </c>
      <c r="I24" s="726">
        <f t="shared" si="5"/>
        <v>0</v>
      </c>
      <c r="J24" s="726">
        <f>J28+J32+1</f>
        <v>871543.43</v>
      </c>
      <c r="K24" s="726">
        <f>K28+K32</f>
        <v>46513445.219999999</v>
      </c>
      <c r="L24" s="726">
        <f t="shared" si="5"/>
        <v>80622</v>
      </c>
      <c r="M24" s="726">
        <f>M28+M32</f>
        <v>0</v>
      </c>
      <c r="N24" s="150">
        <f>SUM(D24:M24)-1</f>
        <v>59086850.649999999</v>
      </c>
      <c r="O24" s="723"/>
      <c r="P24" s="1284"/>
    </row>
    <row r="25" spans="1:18" s="30" customFormat="1" ht="26.25" customHeight="1" x14ac:dyDescent="0.2">
      <c r="A25" s="1578"/>
      <c r="B25" s="1586" t="s">
        <v>54</v>
      </c>
      <c r="C25" s="151" t="s">
        <v>73</v>
      </c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0"/>
      <c r="P25" s="131"/>
    </row>
    <row r="26" spans="1:18" s="30" customFormat="1" ht="13.5" customHeight="1" x14ac:dyDescent="0.2">
      <c r="A26" s="1578"/>
      <c r="B26" s="1587"/>
      <c r="C26" s="713" t="s">
        <v>302</v>
      </c>
      <c r="D26" s="154">
        <v>8652766</v>
      </c>
      <c r="E26" s="154"/>
      <c r="F26" s="154"/>
      <c r="G26" s="154"/>
      <c r="H26" s="154"/>
      <c r="I26" s="154"/>
      <c r="J26" s="154">
        <v>500000</v>
      </c>
      <c r="K26" s="154">
        <f>'5 kiadások'!R49-'4 int-i bevételek '!D26-J26</f>
        <v>30933411</v>
      </c>
      <c r="L26" s="154">
        <v>0</v>
      </c>
      <c r="M26" s="154"/>
      <c r="N26" s="150">
        <f>SUM(D26:M26)</f>
        <v>40086177</v>
      </c>
      <c r="P26" s="131"/>
    </row>
    <row r="27" spans="1:18" s="30" customFormat="1" ht="17.25" customHeight="1" x14ac:dyDescent="0.2">
      <c r="A27" s="1578"/>
      <c r="B27" s="1587"/>
      <c r="C27" s="713" t="s">
        <v>303</v>
      </c>
      <c r="D27" s="154">
        <v>8652766</v>
      </c>
      <c r="E27" s="154"/>
      <c r="F27" s="154"/>
      <c r="G27" s="154"/>
      <c r="H27" s="154"/>
      <c r="I27" s="154"/>
      <c r="J27" s="154">
        <v>470000</v>
      </c>
      <c r="K27" s="154">
        <f>'5 kiadások'!R50-'4 int-i bevételek '!D27-'4 int-i bevételek '!J27-'4 int-i bevételek '!L27</f>
        <v>32620474</v>
      </c>
      <c r="L27" s="154">
        <v>80622</v>
      </c>
      <c r="M27" s="154"/>
      <c r="N27" s="150">
        <f t="shared" si="2"/>
        <v>41823862</v>
      </c>
      <c r="P27" s="131"/>
    </row>
    <row r="28" spans="1:18" s="30" customFormat="1" ht="19.5" customHeight="1" x14ac:dyDescent="0.2">
      <c r="A28" s="1578"/>
      <c r="B28" s="1588"/>
      <c r="C28" s="713" t="s">
        <v>304</v>
      </c>
      <c r="D28" s="154">
        <f>1217282+328635+1984+5538261+1495279+456+972+495000</f>
        <v>9077869</v>
      </c>
      <c r="E28" s="154"/>
      <c r="F28" s="154"/>
      <c r="G28" s="154"/>
      <c r="H28" s="154"/>
      <c r="I28" s="154"/>
      <c r="J28" s="154">
        <f>'5 kiadások'!N51</f>
        <v>359693.78</v>
      </c>
      <c r="K28" s="154">
        <f>40736140-D28-J28-L28+740</f>
        <v>31218695.219999999</v>
      </c>
      <c r="L28" s="154">
        <v>80622</v>
      </c>
      <c r="M28" s="154"/>
      <c r="N28" s="150">
        <f>SUM(D28:M28)-740</f>
        <v>40736140</v>
      </c>
      <c r="P28" s="131"/>
      <c r="R28" s="131"/>
    </row>
    <row r="29" spans="1:18" s="30" customFormat="1" ht="24" customHeight="1" x14ac:dyDescent="0.2">
      <c r="A29" s="1578"/>
      <c r="B29" s="1586" t="s">
        <v>55</v>
      </c>
      <c r="C29" s="151" t="s">
        <v>72</v>
      </c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0"/>
      <c r="O29" s="132"/>
      <c r="P29" s="131"/>
      <c r="R29" s="131"/>
    </row>
    <row r="30" spans="1:18" s="30" customFormat="1" ht="17.25" customHeight="1" x14ac:dyDescent="0.2">
      <c r="A30" s="1578"/>
      <c r="B30" s="1587"/>
      <c r="C30" s="713" t="s">
        <v>302</v>
      </c>
      <c r="D30" s="154">
        <v>3274315</v>
      </c>
      <c r="E30" s="154"/>
      <c r="F30" s="154"/>
      <c r="G30" s="154"/>
      <c r="H30" s="154"/>
      <c r="I30" s="154"/>
      <c r="J30" s="154">
        <v>500000</v>
      </c>
      <c r="K30" s="154">
        <f>'5 kiadások'!R53-'4 int-i bevételek '!J30-'4 int-i bevételek '!L30-D30</f>
        <v>16379658</v>
      </c>
      <c r="L30" s="154"/>
      <c r="M30" s="154"/>
      <c r="N30" s="150">
        <f t="shared" si="2"/>
        <v>20153973</v>
      </c>
      <c r="O30" s="132"/>
      <c r="P30" s="131"/>
    </row>
    <row r="31" spans="1:18" s="30" customFormat="1" ht="13.5" customHeight="1" x14ac:dyDescent="0.2">
      <c r="A31" s="1578"/>
      <c r="B31" s="1587"/>
      <c r="C31" s="713" t="s">
        <v>303</v>
      </c>
      <c r="D31" s="154">
        <v>3274315</v>
      </c>
      <c r="E31" s="154"/>
      <c r="F31" s="154"/>
      <c r="G31" s="154"/>
      <c r="H31" s="154"/>
      <c r="I31" s="154"/>
      <c r="J31" s="154">
        <v>530000</v>
      </c>
      <c r="K31" s="154">
        <f>18310754-D31</f>
        <v>15036439</v>
      </c>
      <c r="L31" s="154"/>
      <c r="M31" s="154"/>
      <c r="N31" s="150">
        <f t="shared" si="2"/>
        <v>18840754</v>
      </c>
      <c r="O31" s="132"/>
      <c r="P31" s="131"/>
    </row>
    <row r="32" spans="1:18" s="30" customFormat="1" ht="15" customHeight="1" x14ac:dyDescent="0.2">
      <c r="A32" s="1579"/>
      <c r="B32" s="1588"/>
      <c r="C32" s="713" t="s">
        <v>304</v>
      </c>
      <c r="D32" s="154">
        <f>61001+1956494+524736+2+359+780</f>
        <v>2543372</v>
      </c>
      <c r="E32" s="154"/>
      <c r="F32" s="154"/>
      <c r="G32" s="154"/>
      <c r="H32" s="154"/>
      <c r="I32" s="154"/>
      <c r="J32" s="154">
        <f>'5 kiadások'!N55</f>
        <v>511848.65</v>
      </c>
      <c r="K32" s="154">
        <f>17838122-D32</f>
        <v>15294750</v>
      </c>
      <c r="L32" s="154"/>
      <c r="M32" s="154"/>
      <c r="N32" s="150">
        <f>SUM(D32:M32)</f>
        <v>18349970.649999999</v>
      </c>
      <c r="O32" s="132"/>
      <c r="P32" s="131"/>
      <c r="Q32" s="131"/>
    </row>
    <row r="33" spans="1:17" ht="27.75" customHeight="1" x14ac:dyDescent="0.2">
      <c r="A33" s="1577">
        <v>3</v>
      </c>
      <c r="B33" s="1577" t="s">
        <v>54</v>
      </c>
      <c r="C33" s="152" t="s">
        <v>192</v>
      </c>
      <c r="D33" s="726"/>
      <c r="E33" s="726"/>
      <c r="F33" s="726"/>
      <c r="G33" s="726"/>
      <c r="H33" s="726"/>
      <c r="I33" s="726"/>
      <c r="J33" s="726"/>
      <c r="K33" s="726"/>
      <c r="L33" s="726"/>
      <c r="M33" s="153"/>
      <c r="N33" s="150"/>
      <c r="O33" s="130"/>
      <c r="P33" s="25"/>
    </row>
    <row r="34" spans="1:17" s="130" customFormat="1" ht="20.25" customHeight="1" x14ac:dyDescent="0.2">
      <c r="A34" s="1578"/>
      <c r="B34" s="1578"/>
      <c r="C34" s="713" t="s">
        <v>302</v>
      </c>
      <c r="D34" s="726">
        <v>0</v>
      </c>
      <c r="E34" s="726"/>
      <c r="F34" s="726"/>
      <c r="G34" s="726"/>
      <c r="H34" s="726"/>
      <c r="I34" s="726"/>
      <c r="J34" s="726">
        <v>0</v>
      </c>
      <c r="K34" s="726">
        <v>43977341</v>
      </c>
      <c r="L34" s="726"/>
      <c r="M34" s="153"/>
      <c r="N34" s="150">
        <f t="shared" si="2"/>
        <v>43977341</v>
      </c>
      <c r="P34" s="25"/>
    </row>
    <row r="35" spans="1:17" s="130" customFormat="1" ht="20.25" customHeight="1" x14ac:dyDescent="0.2">
      <c r="A35" s="1578"/>
      <c r="B35" s="1578"/>
      <c r="C35" s="713" t="s">
        <v>303</v>
      </c>
      <c r="D35" s="726">
        <v>0</v>
      </c>
      <c r="E35" s="726"/>
      <c r="F35" s="726"/>
      <c r="G35" s="726"/>
      <c r="H35" s="726"/>
      <c r="I35" s="726"/>
      <c r="J35" s="726">
        <v>202095</v>
      </c>
      <c r="K35" s="726">
        <f>44158889-J35</f>
        <v>43956794</v>
      </c>
      <c r="L35" s="726"/>
      <c r="M35" s="153"/>
      <c r="N35" s="150">
        <f t="shared" si="2"/>
        <v>44158889</v>
      </c>
      <c r="P35" s="25"/>
    </row>
    <row r="36" spans="1:17" s="130" customFormat="1" ht="18.75" customHeight="1" x14ac:dyDescent="0.2">
      <c r="A36" s="1579"/>
      <c r="B36" s="1579"/>
      <c r="C36" s="713" t="s">
        <v>304</v>
      </c>
      <c r="D36" s="726">
        <v>2825</v>
      </c>
      <c r="E36" s="726"/>
      <c r="F36" s="726"/>
      <c r="G36" s="726"/>
      <c r="H36" s="726"/>
      <c r="I36" s="726"/>
      <c r="J36" s="726">
        <v>202095</v>
      </c>
      <c r="K36" s="726">
        <f>43338363-J36</f>
        <v>43136268</v>
      </c>
      <c r="L36" s="726"/>
      <c r="M36" s="153"/>
      <c r="N36" s="150">
        <f t="shared" si="2"/>
        <v>43341188</v>
      </c>
      <c r="P36" s="25"/>
    </row>
    <row r="37" spans="1:17" ht="20.25" customHeight="1" x14ac:dyDescent="0.2">
      <c r="A37" s="727"/>
      <c r="B37" s="1577"/>
      <c r="C37" s="1202" t="s">
        <v>234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6"/>
      <c r="N37" s="150"/>
      <c r="O37" s="130"/>
      <c r="P37" s="25"/>
      <c r="Q37" s="130"/>
    </row>
    <row r="38" spans="1:17" s="130" customFormat="1" ht="15.75" customHeight="1" x14ac:dyDescent="0.2">
      <c r="A38" s="722"/>
      <c r="B38" s="1578"/>
      <c r="C38" s="713" t="s">
        <v>302</v>
      </c>
      <c r="D38" s="155">
        <f>D42+D46</f>
        <v>11965081</v>
      </c>
      <c r="E38" s="155">
        <f t="shared" ref="E38:M38" si="6">E42+E46</f>
        <v>0</v>
      </c>
      <c r="F38" s="155">
        <f t="shared" si="6"/>
        <v>0</v>
      </c>
      <c r="G38" s="155">
        <f t="shared" si="6"/>
        <v>1000000</v>
      </c>
      <c r="H38" s="155">
        <f t="shared" si="6"/>
        <v>0</v>
      </c>
      <c r="I38" s="155">
        <f t="shared" si="6"/>
        <v>0</v>
      </c>
      <c r="J38" s="155">
        <f t="shared" si="6"/>
        <v>1000000</v>
      </c>
      <c r="K38" s="155">
        <f t="shared" si="6"/>
        <v>182430858</v>
      </c>
      <c r="L38" s="155">
        <f t="shared" si="6"/>
        <v>0</v>
      </c>
      <c r="M38" s="155">
        <f t="shared" si="6"/>
        <v>0</v>
      </c>
      <c r="N38" s="150">
        <f t="shared" si="2"/>
        <v>196395939</v>
      </c>
      <c r="P38" s="25"/>
    </row>
    <row r="39" spans="1:17" s="130" customFormat="1" ht="16.5" customHeight="1" x14ac:dyDescent="0.2">
      <c r="A39" s="722"/>
      <c r="B39" s="1578"/>
      <c r="C39" s="713" t="s">
        <v>303</v>
      </c>
      <c r="D39" s="155">
        <f>D43+D47</f>
        <v>12270089</v>
      </c>
      <c r="E39" s="155">
        <f t="shared" ref="E39:M39" si="7">E43+E47</f>
        <v>0</v>
      </c>
      <c r="F39" s="155">
        <f t="shared" si="7"/>
        <v>0</v>
      </c>
      <c r="G39" s="155">
        <f t="shared" si="7"/>
        <v>1000000</v>
      </c>
      <c r="H39" s="155">
        <f t="shared" si="7"/>
        <v>0</v>
      </c>
      <c r="I39" s="155">
        <f t="shared" si="7"/>
        <v>0</v>
      </c>
      <c r="J39" s="155">
        <f t="shared" si="7"/>
        <v>1977195</v>
      </c>
      <c r="K39" s="155">
        <f t="shared" si="7"/>
        <v>183005551</v>
      </c>
      <c r="L39" s="155">
        <f t="shared" si="7"/>
        <v>80622</v>
      </c>
      <c r="M39" s="155">
        <f t="shared" si="7"/>
        <v>0</v>
      </c>
      <c r="N39" s="150">
        <f t="shared" si="2"/>
        <v>198333457</v>
      </c>
      <c r="P39" s="25"/>
    </row>
    <row r="40" spans="1:17" s="130" customFormat="1" ht="18" customHeight="1" x14ac:dyDescent="0.2">
      <c r="A40" s="722"/>
      <c r="B40" s="1579"/>
      <c r="C40" s="713" t="s">
        <v>304</v>
      </c>
      <c r="D40" s="155">
        <f t="shared" ref="D40" si="8">D44+D48</f>
        <v>12218138</v>
      </c>
      <c r="E40" s="155"/>
      <c r="F40" s="155"/>
      <c r="G40" s="155"/>
      <c r="H40" s="155"/>
      <c r="I40" s="155"/>
      <c r="J40" s="155">
        <v>1646643</v>
      </c>
      <c r="K40" s="155">
        <v>132389023</v>
      </c>
      <c r="L40" s="155">
        <v>80622</v>
      </c>
      <c r="M40" s="155"/>
      <c r="N40" s="150">
        <f t="shared" si="2"/>
        <v>146334426</v>
      </c>
      <c r="P40" s="25"/>
    </row>
    <row r="41" spans="1:17" ht="23.25" customHeight="1" x14ac:dyDescent="0.2">
      <c r="A41" s="722"/>
      <c r="B41" s="1577" t="s">
        <v>54</v>
      </c>
      <c r="C41" s="151" t="s">
        <v>73</v>
      </c>
      <c r="D41" s="155"/>
      <c r="E41" s="155"/>
      <c r="F41" s="155"/>
      <c r="G41" s="155"/>
      <c r="H41" s="155"/>
      <c r="I41" s="155"/>
      <c r="J41" s="155"/>
      <c r="K41" s="155"/>
      <c r="L41" s="155"/>
      <c r="M41" s="156"/>
      <c r="N41" s="150"/>
      <c r="O41" s="157"/>
      <c r="P41" s="157"/>
    </row>
    <row r="42" spans="1:17" s="130" customFormat="1" ht="20.25" customHeight="1" x14ac:dyDescent="0.2">
      <c r="A42" s="722"/>
      <c r="B42" s="1578"/>
      <c r="C42" s="713" t="s">
        <v>302</v>
      </c>
      <c r="D42" s="155">
        <f>D14+D26+D34</f>
        <v>8690766</v>
      </c>
      <c r="E42" s="155">
        <f t="shared" ref="E42:M42" si="9">E14+E26+E34</f>
        <v>0</v>
      </c>
      <c r="F42" s="155">
        <f t="shared" si="9"/>
        <v>0</v>
      </c>
      <c r="G42" s="155">
        <f t="shared" si="9"/>
        <v>1000000</v>
      </c>
      <c r="H42" s="155">
        <f t="shared" si="9"/>
        <v>0</v>
      </c>
      <c r="I42" s="155">
        <f t="shared" si="9"/>
        <v>0</v>
      </c>
      <c r="J42" s="155">
        <f t="shared" si="9"/>
        <v>500000</v>
      </c>
      <c r="K42" s="155">
        <f t="shared" si="9"/>
        <v>122073859</v>
      </c>
      <c r="L42" s="155">
        <f t="shared" si="9"/>
        <v>0</v>
      </c>
      <c r="M42" s="155">
        <f t="shared" si="9"/>
        <v>0</v>
      </c>
      <c r="N42" s="150">
        <f t="shared" si="2"/>
        <v>132264625</v>
      </c>
      <c r="O42" s="157"/>
      <c r="P42" s="157"/>
    </row>
    <row r="43" spans="1:17" s="130" customFormat="1" ht="18" customHeight="1" x14ac:dyDescent="0.2">
      <c r="A43" s="722"/>
      <c r="B43" s="1578"/>
      <c r="C43" s="713" t="s">
        <v>303</v>
      </c>
      <c r="D43" s="155">
        <f t="shared" ref="D43:M44" si="10">D15+D27+D35</f>
        <v>8995774</v>
      </c>
      <c r="E43" s="155">
        <f t="shared" si="10"/>
        <v>0</v>
      </c>
      <c r="F43" s="155">
        <f t="shared" si="10"/>
        <v>0</v>
      </c>
      <c r="G43" s="155">
        <f t="shared" si="10"/>
        <v>1000000</v>
      </c>
      <c r="H43" s="155">
        <f t="shared" si="10"/>
        <v>0</v>
      </c>
      <c r="I43" s="155">
        <f t="shared" si="10"/>
        <v>0</v>
      </c>
      <c r="J43" s="155">
        <f t="shared" si="10"/>
        <v>1245100</v>
      </c>
      <c r="K43" s="155">
        <f t="shared" si="10"/>
        <v>124012318</v>
      </c>
      <c r="L43" s="155">
        <f t="shared" si="10"/>
        <v>80622</v>
      </c>
      <c r="M43" s="155">
        <f t="shared" si="10"/>
        <v>0</v>
      </c>
      <c r="N43" s="150">
        <f t="shared" si="2"/>
        <v>135333814</v>
      </c>
      <c r="O43" s="157"/>
      <c r="P43" s="157"/>
    </row>
    <row r="44" spans="1:17" s="130" customFormat="1" ht="20.25" customHeight="1" x14ac:dyDescent="0.2">
      <c r="A44" s="722"/>
      <c r="B44" s="1579"/>
      <c r="C44" s="713" t="s">
        <v>304</v>
      </c>
      <c r="D44" s="155">
        <f t="shared" si="10"/>
        <v>9674766</v>
      </c>
      <c r="E44" s="155">
        <f t="shared" si="10"/>
        <v>0</v>
      </c>
      <c r="F44" s="155">
        <f t="shared" si="10"/>
        <v>0</v>
      </c>
      <c r="G44" s="155">
        <f t="shared" si="10"/>
        <v>0</v>
      </c>
      <c r="H44" s="155">
        <f t="shared" si="10"/>
        <v>0</v>
      </c>
      <c r="I44" s="155">
        <f t="shared" si="10"/>
        <v>0</v>
      </c>
      <c r="J44" s="155">
        <f t="shared" si="10"/>
        <v>1134793.78</v>
      </c>
      <c r="K44" s="155">
        <f t="shared" si="10"/>
        <v>117094273.22</v>
      </c>
      <c r="L44" s="155">
        <f t="shared" si="10"/>
        <v>80622</v>
      </c>
      <c r="M44" s="155">
        <f t="shared" si="10"/>
        <v>0</v>
      </c>
      <c r="N44" s="150">
        <f t="shared" si="2"/>
        <v>127984455</v>
      </c>
      <c r="O44" s="157"/>
      <c r="P44" s="157"/>
    </row>
    <row r="45" spans="1:17" ht="33" customHeight="1" x14ac:dyDescent="0.2">
      <c r="A45" s="728"/>
      <c r="B45" s="1577" t="s">
        <v>55</v>
      </c>
      <c r="C45" s="151" t="s">
        <v>72</v>
      </c>
      <c r="D45" s="155"/>
      <c r="E45" s="155"/>
      <c r="F45" s="155"/>
      <c r="G45" s="155"/>
      <c r="H45" s="155"/>
      <c r="I45" s="155"/>
      <c r="J45" s="155"/>
      <c r="K45" s="155"/>
      <c r="L45" s="155"/>
      <c r="M45" s="156"/>
      <c r="N45" s="150"/>
      <c r="O45" s="25"/>
    </row>
    <row r="46" spans="1:17" s="130" customFormat="1" ht="18.75" customHeight="1" x14ac:dyDescent="0.2">
      <c r="A46" s="727"/>
      <c r="B46" s="1578"/>
      <c r="C46" s="713" t="s">
        <v>302</v>
      </c>
      <c r="D46" s="155">
        <f>D30</f>
        <v>3274315</v>
      </c>
      <c r="E46" s="155">
        <f t="shared" ref="E46:M46" si="11">E34+E30+E18</f>
        <v>0</v>
      </c>
      <c r="F46" s="155">
        <f t="shared" si="11"/>
        <v>0</v>
      </c>
      <c r="G46" s="155">
        <f t="shared" si="11"/>
        <v>0</v>
      </c>
      <c r="H46" s="155">
        <f t="shared" si="11"/>
        <v>0</v>
      </c>
      <c r="I46" s="155">
        <f t="shared" si="11"/>
        <v>0</v>
      </c>
      <c r="J46" s="155">
        <f t="shared" si="11"/>
        <v>500000</v>
      </c>
      <c r="K46" s="155">
        <f t="shared" si="11"/>
        <v>60356999</v>
      </c>
      <c r="L46" s="155">
        <f t="shared" si="11"/>
        <v>0</v>
      </c>
      <c r="M46" s="155">
        <f t="shared" si="11"/>
        <v>0</v>
      </c>
      <c r="N46" s="150">
        <f t="shared" si="2"/>
        <v>64131314</v>
      </c>
      <c r="O46" s="25"/>
    </row>
    <row r="47" spans="1:17" s="130" customFormat="1" ht="18.75" customHeight="1" x14ac:dyDescent="0.2">
      <c r="A47" s="722"/>
      <c r="B47" s="1578"/>
      <c r="C47" s="713" t="s">
        <v>303</v>
      </c>
      <c r="D47" s="155">
        <f t="shared" ref="D47:D48" si="12">D31</f>
        <v>3274315</v>
      </c>
      <c r="E47" s="155">
        <f t="shared" ref="E47:M48" si="13">E35+E31+E19</f>
        <v>0</v>
      </c>
      <c r="F47" s="155">
        <f t="shared" si="13"/>
        <v>0</v>
      </c>
      <c r="G47" s="155">
        <f t="shared" si="13"/>
        <v>0</v>
      </c>
      <c r="H47" s="155">
        <f t="shared" si="13"/>
        <v>0</v>
      </c>
      <c r="I47" s="155">
        <f t="shared" si="13"/>
        <v>0</v>
      </c>
      <c r="J47" s="155">
        <f t="shared" si="13"/>
        <v>732095</v>
      </c>
      <c r="K47" s="155">
        <f t="shared" si="13"/>
        <v>58993233</v>
      </c>
      <c r="L47" s="155">
        <f t="shared" si="13"/>
        <v>0</v>
      </c>
      <c r="M47" s="155">
        <f t="shared" si="13"/>
        <v>0</v>
      </c>
      <c r="N47" s="150">
        <f t="shared" si="2"/>
        <v>62999643</v>
      </c>
      <c r="O47" s="25"/>
    </row>
    <row r="48" spans="1:17" s="130" customFormat="1" ht="22.5" customHeight="1" x14ac:dyDescent="0.2">
      <c r="A48" s="728"/>
      <c r="B48" s="1579"/>
      <c r="C48" s="713" t="s">
        <v>304</v>
      </c>
      <c r="D48" s="155">
        <f t="shared" si="12"/>
        <v>2543372</v>
      </c>
      <c r="E48" s="155">
        <f t="shared" si="13"/>
        <v>0</v>
      </c>
      <c r="F48" s="155">
        <f t="shared" si="13"/>
        <v>0</v>
      </c>
      <c r="G48" s="155">
        <f t="shared" si="13"/>
        <v>0</v>
      </c>
      <c r="H48" s="155">
        <f t="shared" si="13"/>
        <v>0</v>
      </c>
      <c r="I48" s="155">
        <f t="shared" si="13"/>
        <v>0</v>
      </c>
      <c r="J48" s="155">
        <f t="shared" si="13"/>
        <v>713943.65</v>
      </c>
      <c r="K48" s="155">
        <f t="shared" si="13"/>
        <v>58431018</v>
      </c>
      <c r="L48" s="155">
        <f t="shared" si="13"/>
        <v>0</v>
      </c>
      <c r="M48" s="155"/>
      <c r="N48" s="150">
        <f t="shared" si="2"/>
        <v>61688333.649999999</v>
      </c>
      <c r="O48" s="25"/>
    </row>
    <row r="49" spans="3:13" x14ac:dyDescent="0.2">
      <c r="C49" s="724"/>
      <c r="D49" s="725"/>
      <c r="K49" s="25"/>
    </row>
    <row r="50" spans="3:13" x14ac:dyDescent="0.2">
      <c r="K50" s="25"/>
    </row>
    <row r="51" spans="3:13" x14ac:dyDescent="0.2">
      <c r="D51" s="31"/>
      <c r="H51" s="31"/>
      <c r="I51" s="25"/>
      <c r="J51" s="72"/>
      <c r="K51" s="25"/>
    </row>
    <row r="52" spans="3:13" x14ac:dyDescent="0.2">
      <c r="D52" s="31"/>
      <c r="E52" s="31"/>
      <c r="F52" s="31"/>
      <c r="G52" s="31"/>
      <c r="H52" s="31"/>
      <c r="I52" s="31"/>
      <c r="J52" s="31"/>
      <c r="K52" s="25"/>
    </row>
    <row r="53" spans="3:13" x14ac:dyDescent="0.2">
      <c r="H53" s="31"/>
      <c r="I53" s="25"/>
      <c r="J53" s="25"/>
      <c r="K53" s="25"/>
      <c r="L53" s="25"/>
    </row>
    <row r="54" spans="3:13" x14ac:dyDescent="0.2">
      <c r="D54" s="31"/>
      <c r="H54" s="31"/>
      <c r="I54" s="25"/>
      <c r="J54" s="25"/>
      <c r="K54" s="25"/>
    </row>
    <row r="55" spans="3:13" x14ac:dyDescent="0.2">
      <c r="D55" s="31"/>
      <c r="I55" s="25"/>
      <c r="J55" s="72"/>
      <c r="K55" s="72"/>
    </row>
    <row r="56" spans="3:13" x14ac:dyDescent="0.2">
      <c r="D56" s="31"/>
      <c r="I56" s="25"/>
      <c r="J56" s="72"/>
      <c r="K56" s="72"/>
    </row>
    <row r="57" spans="3:13" x14ac:dyDescent="0.2">
      <c r="D57" s="31"/>
      <c r="I57" s="25"/>
      <c r="J57" s="25"/>
      <c r="K57" s="25"/>
    </row>
    <row r="58" spans="3:13" x14ac:dyDescent="0.2">
      <c r="I58" s="25"/>
      <c r="J58" s="72"/>
      <c r="K58" s="25"/>
      <c r="M58" s="25"/>
    </row>
    <row r="59" spans="3:13" x14ac:dyDescent="0.2">
      <c r="J59" s="31"/>
      <c r="K59" s="25"/>
      <c r="M59" s="25"/>
    </row>
    <row r="60" spans="3:13" x14ac:dyDescent="0.2">
      <c r="J60" s="25"/>
      <c r="K60" s="25"/>
      <c r="M60" s="25"/>
    </row>
    <row r="61" spans="3:13" x14ac:dyDescent="0.2">
      <c r="J61" s="25"/>
      <c r="K61" s="25"/>
      <c r="M61" s="25"/>
    </row>
    <row r="62" spans="3:13" x14ac:dyDescent="0.2">
      <c r="I62" s="25"/>
      <c r="J62" s="72"/>
      <c r="K62" s="72"/>
    </row>
    <row r="63" spans="3:13" x14ac:dyDescent="0.2">
      <c r="I63" s="31"/>
      <c r="J63" s="31"/>
      <c r="K63" s="25"/>
    </row>
    <row r="64" spans="3:13" x14ac:dyDescent="0.2">
      <c r="I64" s="25"/>
      <c r="J64" s="25"/>
      <c r="K64" s="25"/>
    </row>
    <row r="65" spans="11:11" x14ac:dyDescent="0.2">
      <c r="K65" s="25"/>
    </row>
  </sheetData>
  <mergeCells count="34">
    <mergeCell ref="O21:P21"/>
    <mergeCell ref="N4:N8"/>
    <mergeCell ref="K1:N1"/>
    <mergeCell ref="M7:M8"/>
    <mergeCell ref="L7:L8"/>
    <mergeCell ref="L6:M6"/>
    <mergeCell ref="M3:N3"/>
    <mergeCell ref="K7:K8"/>
    <mergeCell ref="A4:A8"/>
    <mergeCell ref="C4:C8"/>
    <mergeCell ref="D4:I4"/>
    <mergeCell ref="J4:M5"/>
    <mergeCell ref="J6:K6"/>
    <mergeCell ref="J7:J8"/>
    <mergeCell ref="I5:I8"/>
    <mergeCell ref="E5:E8"/>
    <mergeCell ref="D5:D8"/>
    <mergeCell ref="F5:F8"/>
    <mergeCell ref="G5:G8"/>
    <mergeCell ref="H5:H8"/>
    <mergeCell ref="B4:B8"/>
    <mergeCell ref="A33:A36"/>
    <mergeCell ref="A9:A20"/>
    <mergeCell ref="B10:B12"/>
    <mergeCell ref="B45:B48"/>
    <mergeCell ref="B41:B44"/>
    <mergeCell ref="B37:B40"/>
    <mergeCell ref="B33:B36"/>
    <mergeCell ref="B29:B32"/>
    <mergeCell ref="B25:B28"/>
    <mergeCell ref="B21:B24"/>
    <mergeCell ref="A21:A32"/>
    <mergeCell ref="B13:B16"/>
    <mergeCell ref="B17:B20"/>
  </mergeCells>
  <phoneticPr fontId="0" type="noConversion"/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O385"/>
  <sheetViews>
    <sheetView zoomScaleSheetLayoutView="80" workbookViewId="0">
      <pane xSplit="1" ySplit="7" topLeftCell="E319" activePane="bottomRight" state="frozen"/>
      <selection activeCell="A5" sqref="A5"/>
      <selection pane="topRight" activeCell="B5" sqref="B5"/>
      <selection pane="bottomLeft" activeCell="A8" sqref="A8"/>
      <selection pane="bottomRight" activeCell="F327" sqref="F327"/>
    </sheetView>
  </sheetViews>
  <sheetFormatPr defaultRowHeight="15.75" customHeight="1" x14ac:dyDescent="0.2"/>
  <cols>
    <col min="1" max="1" width="4" style="71" hidden="1" customWidth="1"/>
    <col min="2" max="2" width="3.7109375" style="21" hidden="1" customWidth="1"/>
    <col min="3" max="3" width="5.42578125" style="441" customWidth="1"/>
    <col min="4" max="4" width="5.28515625" style="346" customWidth="1"/>
    <col min="5" max="5" width="33" style="345" customWidth="1"/>
    <col min="6" max="6" width="10.85546875" style="345" customWidth="1"/>
    <col min="7" max="7" width="9.7109375" style="345" customWidth="1"/>
    <col min="8" max="8" width="11.5703125" style="345" customWidth="1"/>
    <col min="9" max="9" width="10.28515625" style="345" customWidth="1"/>
    <col min="10" max="10" width="13.5703125" style="345" customWidth="1"/>
    <col min="11" max="11" width="10.28515625" style="345" customWidth="1"/>
    <col min="12" max="12" width="10.85546875" style="345" customWidth="1"/>
    <col min="13" max="13" width="13.42578125" style="347" customWidth="1"/>
    <col min="14" max="14" width="13.5703125" style="345" customWidth="1"/>
    <col min="15" max="15" width="8.7109375" style="345" customWidth="1"/>
    <col min="16" max="16" width="9.5703125" style="345" customWidth="1"/>
    <col min="17" max="17" width="4.7109375" style="345" customWidth="1"/>
    <col min="18" max="18" width="14.28515625" style="347" customWidth="1"/>
    <col min="19" max="19" width="9.5703125" style="1123" customWidth="1"/>
    <col min="20" max="20" width="13" style="21" customWidth="1"/>
    <col min="21" max="21" width="10.42578125" style="21" customWidth="1"/>
    <col min="22" max="22" width="12.85546875" style="21" bestFit="1" customWidth="1"/>
    <col min="23" max="23" width="10.42578125" style="21" customWidth="1"/>
    <col min="24" max="24" width="10.42578125" style="21" bestFit="1" customWidth="1"/>
    <col min="25" max="25" width="9.42578125" style="21" bestFit="1" customWidth="1"/>
    <col min="26" max="16384" width="9.140625" style="21"/>
  </cols>
  <sheetData>
    <row r="1" spans="1:19" ht="15.75" hidden="1" customHeight="1" x14ac:dyDescent="0.2">
      <c r="A1" s="85"/>
      <c r="B1" s="86"/>
      <c r="C1" s="437"/>
      <c r="D1" s="340"/>
      <c r="E1" s="341"/>
      <c r="F1" s="341"/>
      <c r="G1" s="341"/>
      <c r="H1" s="341"/>
      <c r="I1" s="341"/>
      <c r="J1" s="341"/>
      <c r="K1" s="341"/>
      <c r="L1" s="341"/>
      <c r="M1" s="342"/>
      <c r="N1" s="343"/>
      <c r="O1" s="1614"/>
      <c r="P1" s="1614"/>
      <c r="Q1" s="1614"/>
      <c r="R1" s="1614"/>
      <c r="S1" s="1614"/>
    </row>
    <row r="2" spans="1:19" ht="17.25" customHeight="1" x14ac:dyDescent="0.2">
      <c r="A2" s="85"/>
      <c r="B2" s="86"/>
      <c r="C2" s="437"/>
      <c r="D2" s="340"/>
      <c r="E2" s="341"/>
      <c r="F2" s="341"/>
      <c r="G2" s="341"/>
      <c r="H2" s="341"/>
      <c r="I2" s="341"/>
      <c r="J2" s="341"/>
      <c r="K2" s="341"/>
      <c r="L2" s="341"/>
      <c r="M2" s="342"/>
      <c r="N2" s="343"/>
      <c r="O2" s="343"/>
      <c r="P2" s="343"/>
      <c r="Q2" s="343"/>
      <c r="R2" s="342"/>
      <c r="S2" s="1114"/>
    </row>
    <row r="3" spans="1:19" ht="18" customHeight="1" x14ac:dyDescent="0.2">
      <c r="A3" s="85"/>
      <c r="B3" s="86"/>
      <c r="C3" s="437"/>
      <c r="D3" s="340"/>
      <c r="E3" s="341"/>
      <c r="F3" s="341"/>
      <c r="G3" s="341"/>
      <c r="H3" s="341"/>
      <c r="I3" s="341"/>
      <c r="J3" s="341"/>
      <c r="K3" s="341"/>
      <c r="L3" s="341"/>
      <c r="M3" s="342"/>
      <c r="N3" s="343"/>
      <c r="O3" s="343"/>
      <c r="P3" s="343"/>
      <c r="Q3" s="343"/>
      <c r="R3" s="342"/>
      <c r="S3" s="1114"/>
    </row>
    <row r="4" spans="1:19" ht="21" customHeight="1" thickBot="1" x14ac:dyDescent="0.25">
      <c r="A4" s="85"/>
      <c r="B4" s="86"/>
      <c r="C4" s="437"/>
      <c r="D4" s="340"/>
      <c r="E4" s="341"/>
      <c r="F4" s="341"/>
      <c r="G4" s="341"/>
      <c r="H4" s="341"/>
      <c r="I4" s="341"/>
      <c r="J4" s="341"/>
      <c r="K4" s="341"/>
      <c r="L4" s="341"/>
      <c r="M4" s="342"/>
      <c r="N4" s="343"/>
      <c r="O4" s="343"/>
      <c r="P4" s="343"/>
      <c r="Q4" s="343"/>
      <c r="R4" s="344"/>
      <c r="S4" s="1115"/>
    </row>
    <row r="5" spans="1:19" s="22" customFormat="1" ht="22.5" customHeight="1" thickBot="1" x14ac:dyDescent="0.25">
      <c r="A5" s="1626" t="s">
        <v>28</v>
      </c>
      <c r="B5" s="1627"/>
      <c r="C5" s="1637" t="s">
        <v>311</v>
      </c>
      <c r="D5" s="1617" t="s">
        <v>177</v>
      </c>
      <c r="E5" s="972" t="s">
        <v>29</v>
      </c>
      <c r="F5" s="972" t="s">
        <v>30</v>
      </c>
      <c r="G5" s="973" t="s">
        <v>62</v>
      </c>
      <c r="H5" s="972" t="s">
        <v>31</v>
      </c>
      <c r="I5" s="973" t="s">
        <v>126</v>
      </c>
      <c r="J5" s="1624" t="s">
        <v>49</v>
      </c>
      <c r="K5" s="1624"/>
      <c r="L5" s="1625"/>
      <c r="M5" s="974" t="s">
        <v>14</v>
      </c>
      <c r="N5" s="972" t="s">
        <v>32</v>
      </c>
      <c r="O5" s="1620" t="s">
        <v>27</v>
      </c>
      <c r="P5" s="1620"/>
      <c r="Q5" s="1621"/>
      <c r="R5" s="974" t="s">
        <v>21</v>
      </c>
      <c r="S5" s="1634" t="s">
        <v>294</v>
      </c>
    </row>
    <row r="6" spans="1:19" s="22" customFormat="1" ht="16.5" customHeight="1" x14ac:dyDescent="0.2">
      <c r="A6" s="1615" t="s">
        <v>33</v>
      </c>
      <c r="B6" s="1616"/>
      <c r="C6" s="1638"/>
      <c r="D6" s="1618"/>
      <c r="E6" s="975" t="s">
        <v>34</v>
      </c>
      <c r="F6" s="975" t="s">
        <v>50</v>
      </c>
      <c r="G6" s="976" t="s">
        <v>63</v>
      </c>
      <c r="H6" s="975" t="s">
        <v>35</v>
      </c>
      <c r="I6" s="976" t="s">
        <v>127</v>
      </c>
      <c r="J6" s="1622" t="s">
        <v>162</v>
      </c>
      <c r="K6" s="1630" t="s">
        <v>163</v>
      </c>
      <c r="L6" s="1630" t="s">
        <v>293</v>
      </c>
      <c r="M6" s="975" t="s">
        <v>36</v>
      </c>
      <c r="N6" s="975" t="s">
        <v>37</v>
      </c>
      <c r="O6" s="1622" t="s">
        <v>162</v>
      </c>
      <c r="P6" s="1622" t="s">
        <v>163</v>
      </c>
      <c r="Q6" s="1630" t="s">
        <v>164</v>
      </c>
      <c r="R6" s="975" t="s">
        <v>1</v>
      </c>
      <c r="S6" s="1635"/>
    </row>
    <row r="7" spans="1:19" s="22" customFormat="1" ht="68.25" customHeight="1" thickBot="1" x14ac:dyDescent="0.25">
      <c r="A7" s="1628" t="s">
        <v>38</v>
      </c>
      <c r="B7" s="1629"/>
      <c r="C7" s="1639"/>
      <c r="D7" s="1619"/>
      <c r="E7" s="977"/>
      <c r="F7" s="977"/>
      <c r="G7" s="978" t="s">
        <v>64</v>
      </c>
      <c r="H7" s="977" t="s">
        <v>43</v>
      </c>
      <c r="I7" s="978" t="s">
        <v>128</v>
      </c>
      <c r="J7" s="1623"/>
      <c r="K7" s="1632"/>
      <c r="L7" s="1631"/>
      <c r="M7" s="977" t="s">
        <v>1</v>
      </c>
      <c r="N7" s="977" t="s">
        <v>39</v>
      </c>
      <c r="O7" s="1623"/>
      <c r="P7" s="1633"/>
      <c r="Q7" s="1631"/>
      <c r="R7" s="977"/>
      <c r="S7" s="1636"/>
    </row>
    <row r="8" spans="1:19" s="22" customFormat="1" ht="15.75" customHeight="1" thickBot="1" x14ac:dyDescent="0.25">
      <c r="A8" s="159" t="s">
        <v>2</v>
      </c>
      <c r="B8" s="160"/>
      <c r="C8" s="1691">
        <v>1</v>
      </c>
      <c r="D8" s="1716"/>
      <c r="E8" s="416" t="s">
        <v>211</v>
      </c>
      <c r="F8" s="109"/>
      <c r="G8" s="109"/>
      <c r="H8" s="109"/>
      <c r="I8" s="109"/>
      <c r="J8" s="109"/>
      <c r="K8" s="109"/>
      <c r="L8" s="109"/>
      <c r="M8" s="109"/>
      <c r="N8" s="109"/>
      <c r="O8" s="110">
        <f>O14+O19</f>
        <v>0</v>
      </c>
      <c r="P8" s="110">
        <f t="shared" ref="P8:Q8" si="0">P14+P19</f>
        <v>0</v>
      </c>
      <c r="Q8" s="110">
        <f t="shared" si="0"/>
        <v>0</v>
      </c>
      <c r="R8" s="109"/>
      <c r="S8" s="112"/>
    </row>
    <row r="9" spans="1:19" s="22" customFormat="1" ht="15.75" customHeight="1" thickBot="1" x14ac:dyDescent="0.25">
      <c r="A9" s="293"/>
      <c r="B9" s="160"/>
      <c r="C9" s="1692"/>
      <c r="D9" s="1717"/>
      <c r="E9" s="295" t="s">
        <v>302</v>
      </c>
      <c r="F9" s="294">
        <f>F13+F17</f>
        <v>31681014</v>
      </c>
      <c r="G9" s="294">
        <f t="shared" ref="G9:L9" si="1">G13+G17</f>
        <v>7217633</v>
      </c>
      <c r="H9" s="294">
        <f t="shared" si="1"/>
        <v>8054460</v>
      </c>
      <c r="I9" s="294">
        <f>I13+I17</f>
        <v>1248000</v>
      </c>
      <c r="J9" s="294">
        <f t="shared" si="1"/>
        <v>0</v>
      </c>
      <c r="K9" s="294">
        <f t="shared" si="1"/>
        <v>0</v>
      </c>
      <c r="L9" s="294">
        <f t="shared" si="1"/>
        <v>0</v>
      </c>
      <c r="M9" s="109">
        <f t="shared" ref="M9:M19" si="2">SUM(F9:L9)</f>
        <v>48201107</v>
      </c>
      <c r="N9" s="109">
        <f>N13+N17</f>
        <v>0</v>
      </c>
      <c r="O9" s="109">
        <f t="shared" ref="O9:Q9" si="3">O13+O17</f>
        <v>0</v>
      </c>
      <c r="P9" s="109">
        <f t="shared" si="3"/>
        <v>0</v>
      </c>
      <c r="Q9" s="109">
        <f t="shared" si="3"/>
        <v>0</v>
      </c>
      <c r="R9" s="109">
        <f>SUM(M9:Q9)</f>
        <v>48201107</v>
      </c>
      <c r="S9" s="112">
        <v>9</v>
      </c>
    </row>
    <row r="10" spans="1:19" s="22" customFormat="1" ht="15.75" customHeight="1" thickBot="1" x14ac:dyDescent="0.25">
      <c r="A10" s="293"/>
      <c r="B10" s="160"/>
      <c r="C10" s="1692"/>
      <c r="D10" s="1717"/>
      <c r="E10" s="295" t="s">
        <v>303</v>
      </c>
      <c r="F10" s="294">
        <f t="shared" ref="F10:L11" si="4">F14+F18</f>
        <v>31921014</v>
      </c>
      <c r="G10" s="294">
        <f t="shared" si="4"/>
        <v>6343788</v>
      </c>
      <c r="H10" s="294">
        <f t="shared" si="4"/>
        <v>8693827</v>
      </c>
      <c r="I10" s="294">
        <f t="shared" si="4"/>
        <v>1819000</v>
      </c>
      <c r="J10" s="294">
        <f t="shared" si="4"/>
        <v>0</v>
      </c>
      <c r="K10" s="294">
        <f t="shared" si="4"/>
        <v>0</v>
      </c>
      <c r="L10" s="294">
        <f t="shared" si="4"/>
        <v>0</v>
      </c>
      <c r="M10" s="109">
        <f t="shared" si="2"/>
        <v>48777629</v>
      </c>
      <c r="N10" s="109">
        <f t="shared" ref="N10:N11" si="5">N14+N18</f>
        <v>573434</v>
      </c>
      <c r="O10" s="109">
        <f t="shared" ref="O10:Q11" si="6">O14+O18</f>
        <v>0</v>
      </c>
      <c r="P10" s="109">
        <f t="shared" si="6"/>
        <v>0</v>
      </c>
      <c r="Q10" s="109">
        <f t="shared" si="6"/>
        <v>0</v>
      </c>
      <c r="R10" s="109">
        <f t="shared" ref="R10:R11" si="7">SUM(M10:Q10)</f>
        <v>49351063</v>
      </c>
      <c r="S10" s="112">
        <v>9</v>
      </c>
    </row>
    <row r="11" spans="1:19" s="22" customFormat="1" ht="15.75" customHeight="1" thickBot="1" x14ac:dyDescent="0.25">
      <c r="A11" s="293"/>
      <c r="B11" s="160"/>
      <c r="C11" s="1692"/>
      <c r="D11" s="1718"/>
      <c r="E11" s="417" t="s">
        <v>304</v>
      </c>
      <c r="F11" s="294">
        <f t="shared" si="4"/>
        <v>27016678</v>
      </c>
      <c r="G11" s="294">
        <f t="shared" si="4"/>
        <v>6156735</v>
      </c>
      <c r="H11" s="294">
        <f t="shared" si="4"/>
        <v>8153596</v>
      </c>
      <c r="I11" s="294">
        <f t="shared" si="4"/>
        <v>1819000</v>
      </c>
      <c r="J11" s="294">
        <f t="shared" si="4"/>
        <v>0</v>
      </c>
      <c r="K11" s="294">
        <f t="shared" si="4"/>
        <v>0</v>
      </c>
      <c r="L11" s="294">
        <f t="shared" si="4"/>
        <v>0</v>
      </c>
      <c r="M11" s="109">
        <f t="shared" si="2"/>
        <v>43146009</v>
      </c>
      <c r="N11" s="109">
        <f t="shared" si="5"/>
        <v>573005</v>
      </c>
      <c r="O11" s="109">
        <f t="shared" si="6"/>
        <v>0</v>
      </c>
      <c r="P11" s="109">
        <f t="shared" si="6"/>
        <v>0</v>
      </c>
      <c r="Q11" s="109">
        <f t="shared" si="6"/>
        <v>0</v>
      </c>
      <c r="R11" s="109">
        <f t="shared" si="7"/>
        <v>43719014</v>
      </c>
      <c r="S11" s="112">
        <v>8</v>
      </c>
    </row>
    <row r="12" spans="1:19" s="22" customFormat="1" ht="15.75" customHeight="1" thickBot="1" x14ac:dyDescent="0.25">
      <c r="A12" s="293"/>
      <c r="B12" s="160"/>
      <c r="C12" s="1692"/>
      <c r="D12" s="1716" t="s">
        <v>54</v>
      </c>
      <c r="E12" s="418" t="s">
        <v>65</v>
      </c>
      <c r="F12" s="109"/>
      <c r="G12" s="109"/>
      <c r="H12" s="109"/>
      <c r="I12" s="109"/>
      <c r="J12" s="109"/>
      <c r="K12" s="109"/>
      <c r="L12" s="109"/>
      <c r="M12" s="109"/>
      <c r="N12" s="109"/>
      <c r="O12" s="110"/>
      <c r="P12" s="110"/>
      <c r="Q12" s="110"/>
      <c r="R12" s="109"/>
      <c r="S12" s="112"/>
    </row>
    <row r="13" spans="1:19" s="22" customFormat="1" ht="15.75" customHeight="1" thickBot="1" x14ac:dyDescent="0.25">
      <c r="A13" s="293"/>
      <c r="B13" s="160"/>
      <c r="C13" s="1692"/>
      <c r="D13" s="1717"/>
      <c r="E13" s="419" t="s">
        <v>302</v>
      </c>
      <c r="F13" s="109">
        <f>F25+F33+F37</f>
        <v>31681014</v>
      </c>
      <c r="G13" s="109">
        <f t="shared" ref="G13:L13" si="8">G25+G33+G37</f>
        <v>7217633</v>
      </c>
      <c r="H13" s="109">
        <f t="shared" si="8"/>
        <v>8054460</v>
      </c>
      <c r="I13" s="109">
        <f t="shared" si="8"/>
        <v>1248000</v>
      </c>
      <c r="J13" s="109">
        <f t="shared" si="8"/>
        <v>0</v>
      </c>
      <c r="K13" s="109">
        <f t="shared" si="8"/>
        <v>0</v>
      </c>
      <c r="L13" s="109">
        <f t="shared" si="8"/>
        <v>0</v>
      </c>
      <c r="M13" s="109">
        <f t="shared" si="2"/>
        <v>48201107</v>
      </c>
      <c r="N13" s="109">
        <f>N25+N33+N37</f>
        <v>0</v>
      </c>
      <c r="O13" s="110"/>
      <c r="P13" s="110"/>
      <c r="Q13" s="110"/>
      <c r="R13" s="109">
        <f>M13+N13</f>
        <v>48201107</v>
      </c>
      <c r="S13" s="112">
        <v>9</v>
      </c>
    </row>
    <row r="14" spans="1:19" s="22" customFormat="1" ht="15.75" customHeight="1" thickBot="1" x14ac:dyDescent="0.25">
      <c r="A14" s="197"/>
      <c r="B14" s="160"/>
      <c r="C14" s="1692"/>
      <c r="D14" s="1717"/>
      <c r="E14" s="419" t="s">
        <v>303</v>
      </c>
      <c r="F14" s="109">
        <f t="shared" ref="F14:L15" si="9">F26+F34+F38</f>
        <v>31921014</v>
      </c>
      <c r="G14" s="109">
        <f t="shared" si="9"/>
        <v>6343788</v>
      </c>
      <c r="H14" s="109">
        <f t="shared" si="9"/>
        <v>8693827</v>
      </c>
      <c r="I14" s="109">
        <f t="shared" si="9"/>
        <v>1819000</v>
      </c>
      <c r="J14" s="109">
        <f t="shared" si="9"/>
        <v>0</v>
      </c>
      <c r="K14" s="109">
        <f t="shared" si="9"/>
        <v>0</v>
      </c>
      <c r="L14" s="109">
        <f t="shared" si="9"/>
        <v>0</v>
      </c>
      <c r="M14" s="109">
        <f t="shared" si="2"/>
        <v>48777629</v>
      </c>
      <c r="N14" s="109">
        <f t="shared" ref="N14:N15" si="10">N26+N34+N38</f>
        <v>573434</v>
      </c>
      <c r="O14" s="113">
        <f>O26</f>
        <v>0</v>
      </c>
      <c r="P14" s="114">
        <f>P22</f>
        <v>0</v>
      </c>
      <c r="Q14" s="113"/>
      <c r="R14" s="109">
        <f t="shared" ref="R14:R15" si="11">M14+N14</f>
        <v>49351063</v>
      </c>
      <c r="S14" s="105">
        <v>9</v>
      </c>
    </row>
    <row r="15" spans="1:19" s="22" customFormat="1" ht="15.75" customHeight="1" thickBot="1" x14ac:dyDescent="0.25">
      <c r="A15" s="293"/>
      <c r="B15" s="199"/>
      <c r="C15" s="1692"/>
      <c r="D15" s="1718"/>
      <c r="E15" s="420" t="s">
        <v>304</v>
      </c>
      <c r="F15" s="109">
        <f t="shared" si="9"/>
        <v>27016678</v>
      </c>
      <c r="G15" s="109">
        <f t="shared" si="9"/>
        <v>6156735</v>
      </c>
      <c r="H15" s="109">
        <f t="shared" si="9"/>
        <v>8153596</v>
      </c>
      <c r="I15" s="109">
        <f t="shared" si="9"/>
        <v>1819000</v>
      </c>
      <c r="J15" s="109">
        <f t="shared" si="9"/>
        <v>0</v>
      </c>
      <c r="K15" s="109">
        <f t="shared" si="9"/>
        <v>0</v>
      </c>
      <c r="L15" s="109">
        <f t="shared" si="9"/>
        <v>0</v>
      </c>
      <c r="M15" s="109">
        <f t="shared" si="2"/>
        <v>43146009</v>
      </c>
      <c r="N15" s="109">
        <f t="shared" si="10"/>
        <v>573005</v>
      </c>
      <c r="O15" s="110"/>
      <c r="P15" s="111"/>
      <c r="Q15" s="110"/>
      <c r="R15" s="109">
        <f t="shared" si="11"/>
        <v>43719014</v>
      </c>
      <c r="S15" s="105">
        <v>8</v>
      </c>
    </row>
    <row r="16" spans="1:19" s="22" customFormat="1" ht="15.75" customHeight="1" thickBot="1" x14ac:dyDescent="0.25">
      <c r="A16" s="293"/>
      <c r="B16" s="199"/>
      <c r="C16" s="1692"/>
      <c r="D16" s="1716" t="s">
        <v>55</v>
      </c>
      <c r="E16" s="418" t="s">
        <v>66</v>
      </c>
      <c r="F16" s="109"/>
      <c r="G16" s="109"/>
      <c r="H16" s="109"/>
      <c r="I16" s="109"/>
      <c r="J16" s="109"/>
      <c r="K16" s="109"/>
      <c r="L16" s="109"/>
      <c r="M16" s="109"/>
      <c r="N16" s="109"/>
      <c r="O16" s="110"/>
      <c r="P16" s="111"/>
      <c r="Q16" s="110"/>
      <c r="R16" s="109"/>
      <c r="S16" s="112"/>
    </row>
    <row r="17" spans="1:19" s="22" customFormat="1" ht="15.75" customHeight="1" thickBot="1" x14ac:dyDescent="0.25">
      <c r="A17" s="293"/>
      <c r="B17" s="199"/>
      <c r="C17" s="1692"/>
      <c r="D17" s="1717"/>
      <c r="E17" s="419" t="s">
        <v>302</v>
      </c>
      <c r="F17" s="109"/>
      <c r="G17" s="109"/>
      <c r="H17" s="109"/>
      <c r="I17" s="109"/>
      <c r="J17" s="109"/>
      <c r="K17" s="109"/>
      <c r="L17" s="109"/>
      <c r="M17" s="109">
        <v>0</v>
      </c>
      <c r="N17" s="109"/>
      <c r="O17" s="110"/>
      <c r="P17" s="111"/>
      <c r="Q17" s="110"/>
      <c r="R17" s="109">
        <v>0</v>
      </c>
      <c r="S17" s="112">
        <v>0</v>
      </c>
    </row>
    <row r="18" spans="1:19" s="22" customFormat="1" ht="15.75" customHeight="1" thickBot="1" x14ac:dyDescent="0.25">
      <c r="A18" s="293"/>
      <c r="B18" s="199"/>
      <c r="C18" s="1692"/>
      <c r="D18" s="1717"/>
      <c r="E18" s="419" t="s">
        <v>303</v>
      </c>
      <c r="F18" s="109"/>
      <c r="G18" s="109"/>
      <c r="H18" s="109"/>
      <c r="I18" s="109"/>
      <c r="J18" s="109"/>
      <c r="K18" s="109"/>
      <c r="L18" s="109"/>
      <c r="M18" s="109">
        <v>0</v>
      </c>
      <c r="N18" s="109"/>
      <c r="O18" s="110"/>
      <c r="P18" s="111"/>
      <c r="Q18" s="110"/>
      <c r="R18" s="109">
        <v>0</v>
      </c>
      <c r="S18" s="112">
        <v>0</v>
      </c>
    </row>
    <row r="19" spans="1:19" s="22" customFormat="1" ht="15.75" customHeight="1" thickBot="1" x14ac:dyDescent="0.25">
      <c r="A19" s="198"/>
      <c r="B19" s="199"/>
      <c r="C19" s="1693"/>
      <c r="D19" s="1718"/>
      <c r="E19" s="301" t="s">
        <v>304</v>
      </c>
      <c r="F19" s="294"/>
      <c r="G19" s="109"/>
      <c r="H19" s="109"/>
      <c r="I19" s="109"/>
      <c r="J19" s="109"/>
      <c r="K19" s="109"/>
      <c r="L19" s="109"/>
      <c r="M19" s="109">
        <f t="shared" si="2"/>
        <v>0</v>
      </c>
      <c r="N19" s="109">
        <f>N30</f>
        <v>0</v>
      </c>
      <c r="O19" s="110">
        <f>O30</f>
        <v>0</v>
      </c>
      <c r="P19" s="111"/>
      <c r="Q19" s="110"/>
      <c r="R19" s="109">
        <f t="shared" ref="R19:R43" si="12">SUM(M19:Q19)</f>
        <v>0</v>
      </c>
      <c r="S19" s="112">
        <v>0</v>
      </c>
    </row>
    <row r="20" spans="1:19" s="22" customFormat="1" ht="15.75" customHeight="1" x14ac:dyDescent="0.2">
      <c r="A20" s="315"/>
      <c r="B20" s="316"/>
      <c r="C20" s="1694" t="s">
        <v>312</v>
      </c>
      <c r="D20" s="1640" t="s">
        <v>54</v>
      </c>
      <c r="E20" s="352" t="s">
        <v>290</v>
      </c>
      <c r="F20" s="115"/>
      <c r="G20" s="115"/>
      <c r="H20" s="115"/>
      <c r="I20" s="115"/>
      <c r="J20" s="115"/>
      <c r="K20" s="115"/>
      <c r="L20" s="115"/>
      <c r="M20" s="115"/>
      <c r="N20" s="115"/>
      <c r="O20" s="116"/>
      <c r="P20" s="127"/>
      <c r="Q20" s="116"/>
      <c r="R20" s="115"/>
      <c r="S20" s="108"/>
    </row>
    <row r="21" spans="1:19" s="22" customFormat="1" ht="15.75" customHeight="1" x14ac:dyDescent="0.2">
      <c r="A21" s="315"/>
      <c r="B21" s="316"/>
      <c r="C21" s="1695"/>
      <c r="D21" s="1641"/>
      <c r="E21" s="308" t="s">
        <v>302</v>
      </c>
      <c r="F21" s="121">
        <f>F25+F29</f>
        <v>27528469</v>
      </c>
      <c r="G21" s="121">
        <f t="shared" ref="G21:L21" si="13">G25+G29</f>
        <v>6262548</v>
      </c>
      <c r="H21" s="121">
        <f t="shared" si="13"/>
        <v>8054460</v>
      </c>
      <c r="I21" s="121">
        <f t="shared" si="13"/>
        <v>0</v>
      </c>
      <c r="J21" s="121">
        <f t="shared" si="13"/>
        <v>0</v>
      </c>
      <c r="K21" s="121">
        <f t="shared" si="13"/>
        <v>0</v>
      </c>
      <c r="L21" s="121">
        <f t="shared" si="13"/>
        <v>0</v>
      </c>
      <c r="M21" s="121">
        <f>SUM(F21:L21)</f>
        <v>41845477</v>
      </c>
      <c r="N21" s="121">
        <f>N25+N29</f>
        <v>0</v>
      </c>
      <c r="O21" s="121">
        <f t="shared" ref="O21:Q21" si="14">O25+O29</f>
        <v>0</v>
      </c>
      <c r="P21" s="121">
        <f t="shared" si="14"/>
        <v>0</v>
      </c>
      <c r="Q21" s="121">
        <f t="shared" si="14"/>
        <v>0</v>
      </c>
      <c r="R21" s="121">
        <f>SUM(M21:Q21)</f>
        <v>41845477</v>
      </c>
      <c r="S21" s="106">
        <v>8</v>
      </c>
    </row>
    <row r="22" spans="1:19" s="22" customFormat="1" ht="15.75" customHeight="1" x14ac:dyDescent="0.2">
      <c r="A22" s="200"/>
      <c r="B22" s="201">
        <v>1.1000000000000001</v>
      </c>
      <c r="C22" s="1695"/>
      <c r="D22" s="1641"/>
      <c r="E22" s="308" t="s">
        <v>303</v>
      </c>
      <c r="F22" s="121">
        <f t="shared" ref="F22:L23" si="15">F26+F30</f>
        <v>27368469</v>
      </c>
      <c r="G22" s="121">
        <f t="shared" si="15"/>
        <v>5387753.5499999998</v>
      </c>
      <c r="H22" s="121">
        <f t="shared" si="15"/>
        <v>8672886</v>
      </c>
      <c r="I22" s="121">
        <f t="shared" si="15"/>
        <v>0</v>
      </c>
      <c r="J22" s="121">
        <f t="shared" si="15"/>
        <v>0</v>
      </c>
      <c r="K22" s="121">
        <f t="shared" si="15"/>
        <v>0</v>
      </c>
      <c r="L22" s="121">
        <f t="shared" si="15"/>
        <v>0</v>
      </c>
      <c r="M22" s="121">
        <f t="shared" ref="M22:M23" si="16">SUM(F22:L22)</f>
        <v>41429108.549999997</v>
      </c>
      <c r="N22" s="121">
        <f t="shared" ref="N22:Q23" si="17">N26+N30</f>
        <v>573434</v>
      </c>
      <c r="O22" s="121">
        <f t="shared" si="17"/>
        <v>0</v>
      </c>
      <c r="P22" s="121">
        <f t="shared" si="17"/>
        <v>0</v>
      </c>
      <c r="Q22" s="121">
        <f t="shared" si="17"/>
        <v>0</v>
      </c>
      <c r="R22" s="121">
        <f t="shared" ref="R22:R23" si="18">SUM(M22:Q22)</f>
        <v>42002542.549999997</v>
      </c>
      <c r="S22" s="106">
        <v>8</v>
      </c>
    </row>
    <row r="23" spans="1:19" s="22" customFormat="1" ht="15.75" customHeight="1" x14ac:dyDescent="0.2">
      <c r="A23" s="200"/>
      <c r="B23" s="201"/>
      <c r="C23" s="1695"/>
      <c r="D23" s="1641"/>
      <c r="E23" s="307" t="s">
        <v>304</v>
      </c>
      <c r="F23" s="121">
        <f t="shared" si="15"/>
        <v>22962971</v>
      </c>
      <c r="G23" s="121">
        <f t="shared" si="15"/>
        <v>5234805</v>
      </c>
      <c r="H23" s="121">
        <f t="shared" si="15"/>
        <v>8132655</v>
      </c>
      <c r="I23" s="121">
        <f t="shared" si="15"/>
        <v>0</v>
      </c>
      <c r="J23" s="121">
        <f t="shared" si="15"/>
        <v>0</v>
      </c>
      <c r="K23" s="121">
        <f t="shared" si="15"/>
        <v>0</v>
      </c>
      <c r="L23" s="121">
        <f t="shared" si="15"/>
        <v>0</v>
      </c>
      <c r="M23" s="121">
        <f t="shared" si="16"/>
        <v>36330431</v>
      </c>
      <c r="N23" s="121">
        <f t="shared" si="17"/>
        <v>573005</v>
      </c>
      <c r="O23" s="121">
        <f t="shared" si="17"/>
        <v>0</v>
      </c>
      <c r="P23" s="121">
        <f t="shared" si="17"/>
        <v>0</v>
      </c>
      <c r="Q23" s="121">
        <f t="shared" si="17"/>
        <v>0</v>
      </c>
      <c r="R23" s="121">
        <f t="shared" si="18"/>
        <v>36903436</v>
      </c>
      <c r="S23" s="107">
        <v>8</v>
      </c>
    </row>
    <row r="24" spans="1:19" s="22" customFormat="1" ht="15.75" customHeight="1" x14ac:dyDescent="0.2">
      <c r="A24" s="200"/>
      <c r="B24" s="201"/>
      <c r="C24" s="1695"/>
      <c r="D24" s="1641"/>
      <c r="E24" s="117" t="s">
        <v>65</v>
      </c>
      <c r="F24" s="161"/>
      <c r="G24" s="162"/>
      <c r="H24" s="310"/>
      <c r="I24" s="162"/>
      <c r="J24" s="162"/>
      <c r="K24" s="119"/>
      <c r="L24" s="118"/>
      <c r="M24" s="121"/>
      <c r="N24" s="121"/>
      <c r="O24" s="122"/>
      <c r="P24" s="317"/>
      <c r="Q24" s="122"/>
      <c r="R24" s="121"/>
      <c r="S24" s="107"/>
    </row>
    <row r="25" spans="1:19" s="22" customFormat="1" ht="15.75" customHeight="1" x14ac:dyDescent="0.2">
      <c r="A25" s="200"/>
      <c r="B25" s="201"/>
      <c r="C25" s="1695"/>
      <c r="D25" s="1641"/>
      <c r="E25" s="308" t="s">
        <v>302</v>
      </c>
      <c r="F25" s="161">
        <v>27528469</v>
      </c>
      <c r="G25" s="162">
        <v>6262548</v>
      </c>
      <c r="H25" s="310">
        <v>8054460</v>
      </c>
      <c r="I25" s="162"/>
      <c r="J25" s="162"/>
      <c r="K25" s="119"/>
      <c r="L25" s="118"/>
      <c r="M25" s="121">
        <f>SUM(F25:L25)</f>
        <v>41845477</v>
      </c>
      <c r="N25" s="121">
        <v>0</v>
      </c>
      <c r="O25" s="122"/>
      <c r="P25" s="317"/>
      <c r="Q25" s="122"/>
      <c r="R25" s="121">
        <f>SUM(M25:Q25)</f>
        <v>41845477</v>
      </c>
      <c r="S25" s="107">
        <v>7</v>
      </c>
    </row>
    <row r="26" spans="1:19" s="22" customFormat="1" ht="15.75" customHeight="1" x14ac:dyDescent="0.2">
      <c r="A26" s="202"/>
      <c r="B26" s="203"/>
      <c r="C26" s="1695"/>
      <c r="D26" s="1641"/>
      <c r="E26" s="308" t="s">
        <v>303</v>
      </c>
      <c r="F26" s="161">
        <f>27228469+300000+[1]Munka1!$D$15-400000</f>
        <v>27368469</v>
      </c>
      <c r="G26" s="162">
        <f>6343788-G34</f>
        <v>5387753.5499999998</v>
      </c>
      <c r="H26" s="209">
        <f>8693827-20941</f>
        <v>8672886</v>
      </c>
      <c r="I26" s="162"/>
      <c r="J26" s="162"/>
      <c r="K26" s="119"/>
      <c r="L26" s="118"/>
      <c r="M26" s="121">
        <f t="shared" ref="M26:M35" si="19">SUM(F26:L26)</f>
        <v>41429108.549999997</v>
      </c>
      <c r="N26" s="158">
        <v>573434</v>
      </c>
      <c r="O26" s="122"/>
      <c r="P26" s="123">
        <v>0</v>
      </c>
      <c r="Q26" s="122"/>
      <c r="R26" s="121">
        <f t="shared" ref="R26:R35" si="20">SUM(M26:Q26)</f>
        <v>42002542.549999997</v>
      </c>
      <c r="S26" s="107">
        <v>7</v>
      </c>
    </row>
    <row r="27" spans="1:19" s="22" customFormat="1" ht="15.75" customHeight="1" x14ac:dyDescent="0.2">
      <c r="A27" s="202"/>
      <c r="B27" s="203"/>
      <c r="C27" s="1695"/>
      <c r="D27" s="1641"/>
      <c r="E27" s="308" t="s">
        <v>304</v>
      </c>
      <c r="F27" s="161">
        <f>22928411+34560</f>
        <v>22962971</v>
      </c>
      <c r="G27" s="162">
        <f>29160+5205645</f>
        <v>5234805</v>
      </c>
      <c r="H27" s="209">
        <v>8132655</v>
      </c>
      <c r="I27" s="162"/>
      <c r="J27" s="162"/>
      <c r="K27" s="119"/>
      <c r="L27" s="118"/>
      <c r="M27" s="121">
        <f t="shared" si="19"/>
        <v>36330431</v>
      </c>
      <c r="N27" s="158">
        <v>573005</v>
      </c>
      <c r="O27" s="122"/>
      <c r="P27" s="123"/>
      <c r="Q27" s="122"/>
      <c r="R27" s="121">
        <f t="shared" si="20"/>
        <v>36903436</v>
      </c>
      <c r="S27" s="107">
        <v>7</v>
      </c>
    </row>
    <row r="28" spans="1:19" s="22" customFormat="1" ht="15.75" customHeight="1" x14ac:dyDescent="0.2">
      <c r="A28" s="202"/>
      <c r="B28" s="203"/>
      <c r="C28" s="1695"/>
      <c r="D28" s="1641"/>
      <c r="E28" s="120" t="s">
        <v>66</v>
      </c>
      <c r="F28" s="161"/>
      <c r="G28" s="162"/>
      <c r="H28" s="209"/>
      <c r="I28" s="162"/>
      <c r="J28" s="162"/>
      <c r="K28" s="119"/>
      <c r="L28" s="118"/>
      <c r="M28" s="121"/>
      <c r="N28" s="158"/>
      <c r="O28" s="122"/>
      <c r="P28" s="123"/>
      <c r="Q28" s="122"/>
      <c r="R28" s="121"/>
      <c r="S28" s="107"/>
    </row>
    <row r="29" spans="1:19" s="22" customFormat="1" ht="15.75" customHeight="1" x14ac:dyDescent="0.2">
      <c r="A29" s="202"/>
      <c r="B29" s="203"/>
      <c r="C29" s="1695"/>
      <c r="D29" s="1641"/>
      <c r="E29" s="308" t="s">
        <v>302</v>
      </c>
      <c r="F29" s="161"/>
      <c r="G29" s="162"/>
      <c r="H29" s="209"/>
      <c r="I29" s="118"/>
      <c r="J29" s="118"/>
      <c r="K29" s="119"/>
      <c r="L29" s="118"/>
      <c r="M29" s="121">
        <f t="shared" si="19"/>
        <v>0</v>
      </c>
      <c r="N29" s="158"/>
      <c r="O29" s="122"/>
      <c r="P29" s="123"/>
      <c r="Q29" s="122"/>
      <c r="R29" s="121">
        <f t="shared" si="20"/>
        <v>0</v>
      </c>
      <c r="S29" s="107"/>
    </row>
    <row r="30" spans="1:19" s="22" customFormat="1" ht="15.75" customHeight="1" x14ac:dyDescent="0.2">
      <c r="A30" s="202"/>
      <c r="B30" s="203"/>
      <c r="C30" s="1695"/>
      <c r="D30" s="1641"/>
      <c r="E30" s="308" t="s">
        <v>303</v>
      </c>
      <c r="F30" s="121"/>
      <c r="G30" s="122"/>
      <c r="H30" s="121"/>
      <c r="I30" s="122"/>
      <c r="J30" s="122"/>
      <c r="K30" s="123"/>
      <c r="L30" s="122"/>
      <c r="M30" s="121">
        <f t="shared" si="19"/>
        <v>0</v>
      </c>
      <c r="N30" s="121"/>
      <c r="O30" s="122"/>
      <c r="P30" s="123"/>
      <c r="Q30" s="122"/>
      <c r="R30" s="121">
        <f t="shared" si="20"/>
        <v>0</v>
      </c>
      <c r="S30" s="106"/>
    </row>
    <row r="31" spans="1:19" s="22" customFormat="1" ht="15.75" customHeight="1" x14ac:dyDescent="0.2">
      <c r="A31" s="202"/>
      <c r="B31" s="203"/>
      <c r="C31" s="1696"/>
      <c r="D31" s="1642"/>
      <c r="E31" s="308" t="s">
        <v>304</v>
      </c>
      <c r="F31" s="124"/>
      <c r="G31" s="125"/>
      <c r="H31" s="124"/>
      <c r="I31" s="125"/>
      <c r="J31" s="125"/>
      <c r="K31" s="126"/>
      <c r="L31" s="125"/>
      <c r="M31" s="121">
        <f t="shared" si="19"/>
        <v>0</v>
      </c>
      <c r="N31" s="121"/>
      <c r="O31" s="122"/>
      <c r="P31" s="123"/>
      <c r="Q31" s="122"/>
      <c r="R31" s="121">
        <f t="shared" si="20"/>
        <v>0</v>
      </c>
      <c r="S31" s="128"/>
    </row>
    <row r="32" spans="1:19" s="22" customFormat="1" ht="15.75" customHeight="1" x14ac:dyDescent="0.2">
      <c r="A32" s="202"/>
      <c r="B32" s="203"/>
      <c r="C32" s="1697" t="s">
        <v>313</v>
      </c>
      <c r="D32" s="1643" t="s">
        <v>54</v>
      </c>
      <c r="E32" s="191" t="s">
        <v>46</v>
      </c>
      <c r="F32" s="124"/>
      <c r="G32" s="125"/>
      <c r="H32" s="124"/>
      <c r="I32" s="125"/>
      <c r="J32" s="125"/>
      <c r="K32" s="126"/>
      <c r="L32" s="125"/>
      <c r="M32" s="121"/>
      <c r="N32" s="121"/>
      <c r="O32" s="122"/>
      <c r="P32" s="123"/>
      <c r="Q32" s="122"/>
      <c r="R32" s="121"/>
      <c r="S32" s="128"/>
    </row>
    <row r="33" spans="1:19" s="22" customFormat="1" ht="15.75" customHeight="1" x14ac:dyDescent="0.2">
      <c r="A33" s="202"/>
      <c r="B33" s="203"/>
      <c r="C33" s="1695"/>
      <c r="D33" s="1641"/>
      <c r="E33" s="308" t="s">
        <v>302</v>
      </c>
      <c r="F33" s="353">
        <v>4152545</v>
      </c>
      <c r="G33" s="354">
        <v>955085</v>
      </c>
      <c r="H33" s="124">
        <v>0</v>
      </c>
      <c r="I33" s="125"/>
      <c r="J33" s="125"/>
      <c r="K33" s="126"/>
      <c r="L33" s="125"/>
      <c r="M33" s="121">
        <f t="shared" si="19"/>
        <v>5107630</v>
      </c>
      <c r="N33" s="121"/>
      <c r="O33" s="122"/>
      <c r="P33" s="123"/>
      <c r="Q33" s="122"/>
      <c r="R33" s="121">
        <f t="shared" si="20"/>
        <v>5107630</v>
      </c>
      <c r="S33" s="128">
        <v>1</v>
      </c>
    </row>
    <row r="34" spans="1:19" s="22" customFormat="1" ht="15.75" customHeight="1" x14ac:dyDescent="0.2">
      <c r="A34" s="202"/>
      <c r="B34" s="203">
        <v>2</v>
      </c>
      <c r="C34" s="1695"/>
      <c r="D34" s="1641"/>
      <c r="E34" s="308" t="s">
        <v>303</v>
      </c>
      <c r="F34" s="192">
        <f>4152545+400000</f>
        <v>4552545</v>
      </c>
      <c r="G34" s="318">
        <f>F34*21%</f>
        <v>956034.45</v>
      </c>
      <c r="H34" s="124">
        <v>20941</v>
      </c>
      <c r="I34" s="125"/>
      <c r="J34" s="125"/>
      <c r="K34" s="126"/>
      <c r="L34" s="125"/>
      <c r="M34" s="121">
        <f t="shared" si="19"/>
        <v>5529520.4500000002</v>
      </c>
      <c r="N34" s="121"/>
      <c r="O34" s="122"/>
      <c r="P34" s="123"/>
      <c r="Q34" s="122"/>
      <c r="R34" s="121">
        <f t="shared" si="20"/>
        <v>5529520.4500000002</v>
      </c>
      <c r="S34" s="128">
        <v>1</v>
      </c>
    </row>
    <row r="35" spans="1:19" s="22" customFormat="1" ht="15.75" customHeight="1" x14ac:dyDescent="0.2">
      <c r="A35" s="202"/>
      <c r="B35" s="203"/>
      <c r="C35" s="1696"/>
      <c r="D35" s="1642"/>
      <c r="E35" s="307" t="s">
        <v>304</v>
      </c>
      <c r="F35" s="192">
        <v>4053707</v>
      </c>
      <c r="G35" s="318">
        <v>921930</v>
      </c>
      <c r="H35" s="124">
        <v>20941</v>
      </c>
      <c r="I35" s="125"/>
      <c r="J35" s="125"/>
      <c r="K35" s="126"/>
      <c r="L35" s="125"/>
      <c r="M35" s="121">
        <f t="shared" si="19"/>
        <v>4996578</v>
      </c>
      <c r="N35" s="121"/>
      <c r="O35" s="122"/>
      <c r="P35" s="123"/>
      <c r="Q35" s="122"/>
      <c r="R35" s="121">
        <f t="shared" si="20"/>
        <v>4996578</v>
      </c>
      <c r="S35" s="128">
        <v>1</v>
      </c>
    </row>
    <row r="36" spans="1:19" s="22" customFormat="1" ht="21" customHeight="1" x14ac:dyDescent="0.2">
      <c r="A36" s="202"/>
      <c r="B36" s="203"/>
      <c r="C36" s="1697" t="s">
        <v>314</v>
      </c>
      <c r="D36" s="1643"/>
      <c r="E36" s="314" t="s">
        <v>76</v>
      </c>
      <c r="F36" s="121"/>
      <c r="G36" s="122"/>
      <c r="H36" s="121"/>
      <c r="I36" s="122"/>
      <c r="J36" s="122"/>
      <c r="K36" s="123"/>
      <c r="L36" s="122"/>
      <c r="M36" s="121"/>
      <c r="N36" s="121"/>
      <c r="O36" s="122"/>
      <c r="P36" s="123"/>
      <c r="Q36" s="122"/>
      <c r="R36" s="121"/>
      <c r="S36" s="106"/>
    </row>
    <row r="37" spans="1:19" s="22" customFormat="1" ht="15.75" customHeight="1" x14ac:dyDescent="0.2">
      <c r="A37" s="312"/>
      <c r="B37" s="313"/>
      <c r="C37" s="1695"/>
      <c r="D37" s="1641"/>
      <c r="E37" s="308" t="s">
        <v>302</v>
      </c>
      <c r="F37" s="121">
        <f>F41</f>
        <v>0</v>
      </c>
      <c r="G37" s="121">
        <f t="shared" ref="G37:L37" si="21">G41</f>
        <v>0</v>
      </c>
      <c r="H37" s="121">
        <f t="shared" si="21"/>
        <v>0</v>
      </c>
      <c r="I37" s="121">
        <f t="shared" si="21"/>
        <v>1248000</v>
      </c>
      <c r="J37" s="121">
        <f t="shared" si="21"/>
        <v>0</v>
      </c>
      <c r="K37" s="121">
        <f t="shared" si="21"/>
        <v>0</v>
      </c>
      <c r="L37" s="121">
        <f t="shared" si="21"/>
        <v>0</v>
      </c>
      <c r="M37" s="121">
        <f>SUM(F37:L37)</f>
        <v>1248000</v>
      </c>
      <c r="N37" s="121">
        <f>N41</f>
        <v>0</v>
      </c>
      <c r="O37" s="122"/>
      <c r="P37" s="123"/>
      <c r="Q37" s="122"/>
      <c r="R37" s="121">
        <f>SUM(M37:Q37)</f>
        <v>1248000</v>
      </c>
      <c r="S37" s="106"/>
    </row>
    <row r="38" spans="1:19" s="22" customFormat="1" ht="15.75" customHeight="1" x14ac:dyDescent="0.2">
      <c r="A38" s="312"/>
      <c r="B38" s="313"/>
      <c r="C38" s="1695"/>
      <c r="D38" s="1641"/>
      <c r="E38" s="308" t="s">
        <v>303</v>
      </c>
      <c r="F38" s="121">
        <f t="shared" ref="F38:F39" si="22">F42</f>
        <v>0</v>
      </c>
      <c r="G38" s="121">
        <f t="shared" ref="G38:L39" si="23">G42</f>
        <v>0</v>
      </c>
      <c r="H38" s="121">
        <f t="shared" si="23"/>
        <v>0</v>
      </c>
      <c r="I38" s="121">
        <f t="shared" si="23"/>
        <v>1819000</v>
      </c>
      <c r="J38" s="121">
        <f t="shared" si="23"/>
        <v>0</v>
      </c>
      <c r="K38" s="121">
        <f t="shared" si="23"/>
        <v>0</v>
      </c>
      <c r="L38" s="121">
        <f t="shared" si="23"/>
        <v>0</v>
      </c>
      <c r="M38" s="121">
        <f t="shared" ref="M38:M39" si="24">SUM(F38:L38)</f>
        <v>1819000</v>
      </c>
      <c r="N38" s="121">
        <f t="shared" ref="N38:N39" si="25">N42</f>
        <v>0</v>
      </c>
      <c r="O38" s="122"/>
      <c r="P38" s="123"/>
      <c r="Q38" s="122"/>
      <c r="R38" s="121">
        <f t="shared" ref="R38:R39" si="26">SUM(M38:Q38)</f>
        <v>1819000</v>
      </c>
      <c r="S38" s="106"/>
    </row>
    <row r="39" spans="1:19" s="22" customFormat="1" ht="15.75" customHeight="1" x14ac:dyDescent="0.2">
      <c r="A39" s="312"/>
      <c r="B39" s="313"/>
      <c r="C39" s="1696"/>
      <c r="D39" s="1642"/>
      <c r="E39" s="307" t="s">
        <v>304</v>
      </c>
      <c r="F39" s="121">
        <f t="shared" si="22"/>
        <v>0</v>
      </c>
      <c r="G39" s="121">
        <f t="shared" si="23"/>
        <v>0</v>
      </c>
      <c r="H39" s="121">
        <f t="shared" si="23"/>
        <v>0</v>
      </c>
      <c r="I39" s="121">
        <f t="shared" si="23"/>
        <v>1819000</v>
      </c>
      <c r="J39" s="121">
        <f t="shared" si="23"/>
        <v>0</v>
      </c>
      <c r="K39" s="121">
        <f t="shared" si="23"/>
        <v>0</v>
      </c>
      <c r="L39" s="121">
        <f t="shared" si="23"/>
        <v>0</v>
      </c>
      <c r="M39" s="121">
        <f t="shared" si="24"/>
        <v>1819000</v>
      </c>
      <c r="N39" s="121">
        <f t="shared" si="25"/>
        <v>0</v>
      </c>
      <c r="O39" s="122"/>
      <c r="P39" s="123"/>
      <c r="Q39" s="122"/>
      <c r="R39" s="121">
        <f t="shared" si="26"/>
        <v>1819000</v>
      </c>
      <c r="S39" s="106"/>
    </row>
    <row r="40" spans="1:19" s="22" customFormat="1" ht="15.75" customHeight="1" thickBot="1" x14ac:dyDescent="0.25">
      <c r="A40" s="204"/>
      <c r="B40" s="205">
        <v>3</v>
      </c>
      <c r="C40" s="550"/>
      <c r="D40" s="1643" t="s">
        <v>54</v>
      </c>
      <c r="E40" s="305" t="s">
        <v>79</v>
      </c>
      <c r="F40" s="121"/>
      <c r="G40" s="122"/>
      <c r="H40" s="121"/>
      <c r="I40" s="122"/>
      <c r="J40" s="122"/>
      <c r="K40" s="123"/>
      <c r="L40" s="122"/>
      <c r="M40" s="121"/>
      <c r="N40" s="121"/>
      <c r="O40" s="122"/>
      <c r="P40" s="123"/>
      <c r="Q40" s="122"/>
      <c r="R40" s="121"/>
      <c r="S40" s="107"/>
    </row>
    <row r="41" spans="1:19" s="22" customFormat="1" ht="15.75" customHeight="1" thickBot="1" x14ac:dyDescent="0.25">
      <c r="A41" s="303"/>
      <c r="B41" s="304"/>
      <c r="C41" s="426"/>
      <c r="D41" s="1641"/>
      <c r="E41" s="308" t="s">
        <v>302</v>
      </c>
      <c r="F41" s="121"/>
      <c r="G41" s="122"/>
      <c r="H41" s="121"/>
      <c r="I41" s="122">
        <v>1248000</v>
      </c>
      <c r="J41" s="122"/>
      <c r="K41" s="123"/>
      <c r="L41" s="122"/>
      <c r="M41" s="121">
        <f t="shared" ref="M41:M43" si="27">SUM(F41:L41)</f>
        <v>1248000</v>
      </c>
      <c r="N41" s="121"/>
      <c r="O41" s="122"/>
      <c r="P41" s="123"/>
      <c r="Q41" s="122"/>
      <c r="R41" s="121">
        <f t="shared" si="12"/>
        <v>1248000</v>
      </c>
      <c r="S41" s="106"/>
    </row>
    <row r="42" spans="1:19" s="22" customFormat="1" ht="15.75" customHeight="1" thickBot="1" x14ac:dyDescent="0.25">
      <c r="A42" s="303"/>
      <c r="B42" s="304"/>
      <c r="C42" s="426"/>
      <c r="D42" s="1641"/>
      <c r="E42" s="308" t="s">
        <v>303</v>
      </c>
      <c r="F42" s="121"/>
      <c r="G42" s="122"/>
      <c r="H42" s="121"/>
      <c r="I42" s="309">
        <v>1819000</v>
      </c>
      <c r="J42" s="309"/>
      <c r="K42" s="123"/>
      <c r="L42" s="309"/>
      <c r="M42" s="310">
        <f t="shared" si="27"/>
        <v>1819000</v>
      </c>
      <c r="N42" s="310"/>
      <c r="O42" s="309"/>
      <c r="P42" s="123"/>
      <c r="Q42" s="309"/>
      <c r="R42" s="310">
        <f t="shared" si="12"/>
        <v>1819000</v>
      </c>
      <c r="S42" s="106"/>
    </row>
    <row r="43" spans="1:19" s="22" customFormat="1" ht="15.75" customHeight="1" thickBot="1" x14ac:dyDescent="0.25">
      <c r="A43" s="303"/>
      <c r="B43" s="304"/>
      <c r="C43" s="426"/>
      <c r="D43" s="1641"/>
      <c r="E43" s="307" t="s">
        <v>304</v>
      </c>
      <c r="F43" s="306"/>
      <c r="G43" s="118"/>
      <c r="H43" s="306"/>
      <c r="I43" s="162">
        <v>1819000</v>
      </c>
      <c r="J43" s="162"/>
      <c r="K43" s="119"/>
      <c r="L43" s="162"/>
      <c r="M43" s="311">
        <f t="shared" si="27"/>
        <v>1819000</v>
      </c>
      <c r="N43" s="161"/>
      <c r="O43" s="162"/>
      <c r="P43" s="119"/>
      <c r="Q43" s="162"/>
      <c r="R43" s="311">
        <f t="shared" si="12"/>
        <v>1819000</v>
      </c>
      <c r="S43" s="107"/>
    </row>
    <row r="44" spans="1:19" ht="30" customHeight="1" thickBot="1" x14ac:dyDescent="0.25">
      <c r="A44" s="206" t="s">
        <v>3</v>
      </c>
      <c r="B44" s="207"/>
      <c r="C44" s="1698" t="s">
        <v>315</v>
      </c>
      <c r="D44" s="1647"/>
      <c r="E44" s="210" t="s">
        <v>191</v>
      </c>
      <c r="F44" s="211"/>
      <c r="G44" s="211"/>
      <c r="H44" s="211"/>
      <c r="I44" s="211"/>
      <c r="J44" s="211"/>
      <c r="K44" s="211"/>
      <c r="L44" s="211"/>
      <c r="M44" s="212"/>
      <c r="N44" s="212"/>
      <c r="O44" s="212"/>
      <c r="P44" s="212"/>
      <c r="Q44" s="212"/>
      <c r="R44" s="211"/>
      <c r="S44" s="302"/>
    </row>
    <row r="45" spans="1:19" ht="15.75" customHeight="1" thickBot="1" x14ac:dyDescent="0.25">
      <c r="A45" s="298"/>
      <c r="B45" s="207"/>
      <c r="C45" s="1699"/>
      <c r="D45" s="1647"/>
      <c r="E45" s="296" t="s">
        <v>302</v>
      </c>
      <c r="F45" s="211">
        <f>F49+F53</f>
        <v>22071542</v>
      </c>
      <c r="G45" s="211">
        <f t="shared" ref="G45:L45" si="28">G49+G53</f>
        <v>5076455</v>
      </c>
      <c r="H45" s="211">
        <f t="shared" si="28"/>
        <v>32092153</v>
      </c>
      <c r="I45" s="211">
        <f t="shared" si="28"/>
        <v>0</v>
      </c>
      <c r="J45" s="211">
        <f t="shared" si="28"/>
        <v>0</v>
      </c>
      <c r="K45" s="211">
        <f t="shared" si="28"/>
        <v>0</v>
      </c>
      <c r="L45" s="211">
        <f t="shared" si="28"/>
        <v>0</v>
      </c>
      <c r="M45" s="211">
        <f>SUM(F45:L45)</f>
        <v>59240150</v>
      </c>
      <c r="N45" s="211">
        <f t="shared" ref="N45" si="29">N49+N53</f>
        <v>1000000</v>
      </c>
      <c r="O45" s="212"/>
      <c r="P45" s="212"/>
      <c r="Q45" s="212"/>
      <c r="R45" s="211">
        <f>SUM(M45:Q45)</f>
        <v>60240150</v>
      </c>
      <c r="S45" s="213">
        <f>S49+S53</f>
        <v>10</v>
      </c>
    </row>
    <row r="46" spans="1:19" ht="15.75" customHeight="1" thickBot="1" x14ac:dyDescent="0.25">
      <c r="A46" s="298"/>
      <c r="B46" s="207"/>
      <c r="C46" s="1699"/>
      <c r="D46" s="1647"/>
      <c r="E46" s="296" t="s">
        <v>303</v>
      </c>
      <c r="F46" s="211">
        <f t="shared" ref="F46:Q47" si="30">F50+F54</f>
        <v>24303871</v>
      </c>
      <c r="G46" s="211">
        <f t="shared" si="30"/>
        <v>5485329</v>
      </c>
      <c r="H46" s="211">
        <f t="shared" si="30"/>
        <v>29875416</v>
      </c>
      <c r="I46" s="211">
        <f t="shared" si="30"/>
        <v>0</v>
      </c>
      <c r="J46" s="211">
        <f t="shared" si="30"/>
        <v>0</v>
      </c>
      <c r="K46" s="211">
        <f t="shared" si="30"/>
        <v>0</v>
      </c>
      <c r="L46" s="211">
        <f t="shared" si="30"/>
        <v>0</v>
      </c>
      <c r="M46" s="211">
        <f t="shared" ref="M46:M47" si="31">SUM(F46:L46)</f>
        <v>59664616</v>
      </c>
      <c r="N46" s="211">
        <f t="shared" ref="N46" si="32">N50+N54</f>
        <v>1000000</v>
      </c>
      <c r="O46" s="212"/>
      <c r="P46" s="212"/>
      <c r="Q46" s="212"/>
      <c r="R46" s="211">
        <f t="shared" ref="R46" si="33">SUM(M46:Q46)</f>
        <v>60664616</v>
      </c>
      <c r="S46" s="213">
        <f t="shared" ref="S46:S47" si="34">S50+S54</f>
        <v>10</v>
      </c>
    </row>
    <row r="47" spans="1:19" ht="15.75" customHeight="1" thickBot="1" x14ac:dyDescent="0.25">
      <c r="A47" s="298"/>
      <c r="B47" s="207"/>
      <c r="C47" s="1699"/>
      <c r="D47" s="1647"/>
      <c r="E47" s="297" t="s">
        <v>304</v>
      </c>
      <c r="F47" s="211">
        <f t="shared" si="30"/>
        <v>24033061</v>
      </c>
      <c r="G47" s="211">
        <f t="shared" si="30"/>
        <v>5353929</v>
      </c>
      <c r="H47" s="211">
        <f>H51+H55+1</f>
        <v>28827580.399999999</v>
      </c>
      <c r="I47" s="211">
        <f t="shared" si="30"/>
        <v>0</v>
      </c>
      <c r="J47" s="211">
        <f t="shared" si="30"/>
        <v>0</v>
      </c>
      <c r="K47" s="211">
        <f t="shared" si="30"/>
        <v>0</v>
      </c>
      <c r="L47" s="211">
        <f t="shared" si="30"/>
        <v>0</v>
      </c>
      <c r="M47" s="211">
        <f t="shared" si="31"/>
        <v>58214570.399999999</v>
      </c>
      <c r="N47" s="211">
        <f>N51+N55+1</f>
        <v>871543.43</v>
      </c>
      <c r="O47" s="211">
        <f t="shared" si="30"/>
        <v>0</v>
      </c>
      <c r="P47" s="211">
        <f t="shared" si="30"/>
        <v>0</v>
      </c>
      <c r="Q47" s="211">
        <f t="shared" si="30"/>
        <v>0</v>
      </c>
      <c r="R47" s="211">
        <f>SUM(M47:Q47)-1</f>
        <v>59086112.829999998</v>
      </c>
      <c r="S47" s="213">
        <f t="shared" si="34"/>
        <v>10</v>
      </c>
    </row>
    <row r="48" spans="1:19" ht="15.75" customHeight="1" thickBot="1" x14ac:dyDescent="0.25">
      <c r="A48" s="298"/>
      <c r="B48" s="207"/>
      <c r="C48" s="1699"/>
      <c r="D48" s="1644" t="s">
        <v>54</v>
      </c>
      <c r="E48" s="214" t="s">
        <v>65</v>
      </c>
      <c r="F48" s="211"/>
      <c r="G48" s="211"/>
      <c r="H48" s="211"/>
      <c r="I48" s="211"/>
      <c r="J48" s="211"/>
      <c r="K48" s="211"/>
      <c r="L48" s="211"/>
      <c r="M48" s="212"/>
      <c r="N48" s="212"/>
      <c r="O48" s="212"/>
      <c r="P48" s="212"/>
      <c r="Q48" s="212"/>
      <c r="R48" s="211"/>
      <c r="S48" s="213"/>
    </row>
    <row r="49" spans="1:19" ht="15.75" customHeight="1" thickBot="1" x14ac:dyDescent="0.25">
      <c r="A49" s="298"/>
      <c r="B49" s="207"/>
      <c r="C49" s="1699"/>
      <c r="D49" s="1645"/>
      <c r="E49" s="296" t="s">
        <v>302</v>
      </c>
      <c r="F49" s="211">
        <f>F61+F73</f>
        <v>12925744</v>
      </c>
      <c r="G49" s="211">
        <f>G61+G73</f>
        <v>2972921</v>
      </c>
      <c r="H49" s="211">
        <f>H61+H73+H81</f>
        <v>23687512</v>
      </c>
      <c r="I49" s="211">
        <f t="shared" ref="I49:Q49" si="35">I62+I73+I85</f>
        <v>0</v>
      </c>
      <c r="J49" s="211">
        <f t="shared" si="35"/>
        <v>0</v>
      </c>
      <c r="K49" s="211">
        <f t="shared" si="35"/>
        <v>0</v>
      </c>
      <c r="L49" s="211">
        <f t="shared" si="35"/>
        <v>0</v>
      </c>
      <c r="M49" s="211">
        <f>SUM(F49:L49)</f>
        <v>39586177</v>
      </c>
      <c r="N49" s="211">
        <f>N61+N73+N77</f>
        <v>500000</v>
      </c>
      <c r="O49" s="211">
        <f t="shared" si="35"/>
        <v>0</v>
      </c>
      <c r="P49" s="211">
        <f t="shared" si="35"/>
        <v>0</v>
      </c>
      <c r="Q49" s="211">
        <f t="shared" si="35"/>
        <v>0</v>
      </c>
      <c r="R49" s="211">
        <f>M49+N49</f>
        <v>40086177</v>
      </c>
      <c r="S49" s="213">
        <f>S61+S73</f>
        <v>5.75</v>
      </c>
    </row>
    <row r="50" spans="1:19" ht="15.75" customHeight="1" thickBot="1" x14ac:dyDescent="0.25">
      <c r="A50" s="246"/>
      <c r="B50" s="247"/>
      <c r="C50" s="1699"/>
      <c r="D50" s="1645"/>
      <c r="E50" s="296" t="s">
        <v>303</v>
      </c>
      <c r="F50" s="211">
        <f t="shared" ref="F50:Q51" si="36">F63+F74+F86</f>
        <v>13015158</v>
      </c>
      <c r="G50" s="211">
        <f t="shared" ref="G50:G51" si="37">G62+G74</f>
        <v>2963288</v>
      </c>
      <c r="H50" s="211">
        <f>H62+H74+H86</f>
        <v>25375416</v>
      </c>
      <c r="I50" s="211">
        <f t="shared" si="36"/>
        <v>0</v>
      </c>
      <c r="J50" s="211">
        <f t="shared" si="36"/>
        <v>0</v>
      </c>
      <c r="K50" s="211">
        <f t="shared" si="36"/>
        <v>0</v>
      </c>
      <c r="L50" s="211">
        <f t="shared" si="36"/>
        <v>0</v>
      </c>
      <c r="M50" s="211">
        <f t="shared" ref="M50:M51" si="38">SUM(F50:L50)</f>
        <v>41353862</v>
      </c>
      <c r="N50" s="211">
        <f>N62+N74</f>
        <v>470000</v>
      </c>
      <c r="O50" s="211">
        <f t="shared" si="36"/>
        <v>0</v>
      </c>
      <c r="P50" s="211">
        <f t="shared" si="36"/>
        <v>0</v>
      </c>
      <c r="Q50" s="211">
        <f t="shared" si="36"/>
        <v>0</v>
      </c>
      <c r="R50" s="211">
        <f>SUM(M50:Q50)</f>
        <v>41823862</v>
      </c>
      <c r="S50" s="213">
        <f>S62+S74</f>
        <v>5</v>
      </c>
    </row>
    <row r="51" spans="1:19" ht="15.75" customHeight="1" thickBot="1" x14ac:dyDescent="0.25">
      <c r="A51" s="246"/>
      <c r="B51" s="249"/>
      <c r="C51" s="1699"/>
      <c r="D51" s="1646"/>
      <c r="E51" s="297" t="s">
        <v>304</v>
      </c>
      <c r="F51" s="211">
        <f>F63+F75+F87</f>
        <v>12744348</v>
      </c>
      <c r="G51" s="211">
        <f t="shared" si="37"/>
        <v>2831888</v>
      </c>
      <c r="H51" s="211">
        <f t="shared" ref="H51:L51" si="39">H63+H75+H87</f>
        <v>24800210.66</v>
      </c>
      <c r="I51" s="211">
        <f t="shared" si="39"/>
        <v>0</v>
      </c>
      <c r="J51" s="211">
        <f t="shared" si="39"/>
        <v>0</v>
      </c>
      <c r="K51" s="211">
        <f t="shared" si="39"/>
        <v>0</v>
      </c>
      <c r="L51" s="211">
        <f t="shared" si="39"/>
        <v>0</v>
      </c>
      <c r="M51" s="211">
        <f t="shared" si="38"/>
        <v>40376446.659999996</v>
      </c>
      <c r="N51" s="211">
        <f>N63+N75+N87</f>
        <v>359693.78</v>
      </c>
      <c r="O51" s="211">
        <f t="shared" si="36"/>
        <v>0</v>
      </c>
      <c r="P51" s="211">
        <f t="shared" si="36"/>
        <v>0</v>
      </c>
      <c r="Q51" s="211">
        <f t="shared" si="36"/>
        <v>0</v>
      </c>
      <c r="R51" s="211">
        <f t="shared" ref="R51:R54" si="40">SUM(M51:Q51)</f>
        <v>40736140.439999998</v>
      </c>
      <c r="S51" s="213">
        <v>5</v>
      </c>
    </row>
    <row r="52" spans="1:19" ht="15.75" customHeight="1" thickBot="1" x14ac:dyDescent="0.25">
      <c r="A52" s="246"/>
      <c r="B52" s="249"/>
      <c r="C52" s="1699"/>
      <c r="D52" s="1644" t="s">
        <v>55</v>
      </c>
      <c r="E52" s="214" t="s">
        <v>66</v>
      </c>
      <c r="F52" s="215"/>
      <c r="G52" s="215"/>
      <c r="H52" s="215"/>
      <c r="I52" s="215"/>
      <c r="J52" s="215"/>
      <c r="K52" s="215"/>
      <c r="L52" s="215"/>
      <c r="M52" s="211"/>
      <c r="N52" s="212"/>
      <c r="O52" s="212"/>
      <c r="P52" s="212"/>
      <c r="Q52" s="212"/>
      <c r="R52" s="211"/>
      <c r="S52" s="213"/>
    </row>
    <row r="53" spans="1:19" ht="15.75" customHeight="1" thickBot="1" x14ac:dyDescent="0.25">
      <c r="A53" s="246"/>
      <c r="B53" s="249"/>
      <c r="C53" s="1699"/>
      <c r="D53" s="1645"/>
      <c r="E53" s="300" t="s">
        <v>302</v>
      </c>
      <c r="F53" s="215">
        <f>F65+F77+F89</f>
        <v>9145798</v>
      </c>
      <c r="G53" s="215">
        <f t="shared" ref="G53:L53" si="41">G65+G77+G89</f>
        <v>2103534</v>
      </c>
      <c r="H53" s="215">
        <f t="shared" si="41"/>
        <v>8404641</v>
      </c>
      <c r="I53" s="215">
        <f t="shared" si="41"/>
        <v>0</v>
      </c>
      <c r="J53" s="215">
        <f t="shared" si="41"/>
        <v>0</v>
      </c>
      <c r="K53" s="215">
        <f t="shared" si="41"/>
        <v>0</v>
      </c>
      <c r="L53" s="215">
        <f t="shared" si="41"/>
        <v>0</v>
      </c>
      <c r="M53" s="211">
        <f>SUM(F53:L53)</f>
        <v>19653973</v>
      </c>
      <c r="N53" s="215">
        <f t="shared" ref="N53:Q53" si="42">N65+N77+N89</f>
        <v>500000</v>
      </c>
      <c r="O53" s="215">
        <f t="shared" si="42"/>
        <v>0</v>
      </c>
      <c r="P53" s="215">
        <f t="shared" si="42"/>
        <v>0</v>
      </c>
      <c r="Q53" s="215">
        <f t="shared" si="42"/>
        <v>0</v>
      </c>
      <c r="R53" s="211">
        <f t="shared" si="40"/>
        <v>20153973</v>
      </c>
      <c r="S53" s="213">
        <f>S65+S77</f>
        <v>4.25</v>
      </c>
    </row>
    <row r="54" spans="1:19" ht="15.75" customHeight="1" thickBot="1" x14ac:dyDescent="0.25">
      <c r="A54" s="248"/>
      <c r="B54" s="249"/>
      <c r="C54" s="1699"/>
      <c r="D54" s="1645"/>
      <c r="E54" s="300" t="s">
        <v>303</v>
      </c>
      <c r="F54" s="215">
        <f t="shared" ref="F54:L55" si="43">F66+F78+F90</f>
        <v>11288713</v>
      </c>
      <c r="G54" s="215">
        <f t="shared" si="43"/>
        <v>2522041</v>
      </c>
      <c r="H54" s="215">
        <f t="shared" si="43"/>
        <v>4500000</v>
      </c>
      <c r="I54" s="215">
        <f t="shared" si="43"/>
        <v>0</v>
      </c>
      <c r="J54" s="215">
        <f t="shared" si="43"/>
        <v>0</v>
      </c>
      <c r="K54" s="215">
        <f t="shared" si="43"/>
        <v>0</v>
      </c>
      <c r="L54" s="215">
        <f t="shared" si="43"/>
        <v>0</v>
      </c>
      <c r="M54" s="211">
        <f t="shared" ref="M54:M55" si="44">SUM(F54:L54)</f>
        <v>18310754</v>
      </c>
      <c r="N54" s="215">
        <f t="shared" ref="N54:Q55" si="45">N66+N78+N90</f>
        <v>530000</v>
      </c>
      <c r="O54" s="215">
        <f t="shared" si="45"/>
        <v>0</v>
      </c>
      <c r="P54" s="215">
        <f t="shared" si="45"/>
        <v>0</v>
      </c>
      <c r="Q54" s="215">
        <f t="shared" si="45"/>
        <v>0</v>
      </c>
      <c r="R54" s="211">
        <f t="shared" si="40"/>
        <v>18840754</v>
      </c>
      <c r="S54" s="213">
        <f t="shared" ref="S54:S55" si="46">S66+S78</f>
        <v>5</v>
      </c>
    </row>
    <row r="55" spans="1:19" ht="15.75" customHeight="1" thickBot="1" x14ac:dyDescent="0.25">
      <c r="A55" s="257"/>
      <c r="B55" s="299"/>
      <c r="C55" s="1699"/>
      <c r="D55" s="1646"/>
      <c r="E55" s="301" t="s">
        <v>304</v>
      </c>
      <c r="F55" s="215">
        <f t="shared" si="43"/>
        <v>11288713</v>
      </c>
      <c r="G55" s="215">
        <f t="shared" si="43"/>
        <v>2522041</v>
      </c>
      <c r="H55" s="215">
        <f t="shared" si="43"/>
        <v>4027368.74</v>
      </c>
      <c r="I55" s="215">
        <f t="shared" si="43"/>
        <v>0</v>
      </c>
      <c r="J55" s="215">
        <f t="shared" si="43"/>
        <v>0</v>
      </c>
      <c r="K55" s="215">
        <f t="shared" si="43"/>
        <v>0</v>
      </c>
      <c r="L55" s="215">
        <f t="shared" si="43"/>
        <v>0</v>
      </c>
      <c r="M55" s="211">
        <f t="shared" si="44"/>
        <v>17838122.740000002</v>
      </c>
      <c r="N55" s="215">
        <f>N67+N79+N91</f>
        <v>511848.65</v>
      </c>
      <c r="O55" s="215">
        <f t="shared" si="45"/>
        <v>0</v>
      </c>
      <c r="P55" s="215">
        <f t="shared" si="45"/>
        <v>0</v>
      </c>
      <c r="Q55" s="215">
        <f t="shared" si="45"/>
        <v>0</v>
      </c>
      <c r="R55" s="211">
        <f>SUM(M55:Q55)</f>
        <v>18349971.390000001</v>
      </c>
      <c r="S55" s="213">
        <f t="shared" si="46"/>
        <v>5</v>
      </c>
    </row>
    <row r="56" spans="1:19" ht="15.75" customHeight="1" x14ac:dyDescent="0.2">
      <c r="A56" s="257"/>
      <c r="B56" s="299"/>
      <c r="C56" s="1700" t="s">
        <v>316</v>
      </c>
      <c r="D56" s="1648"/>
      <c r="E56" s="429" t="s">
        <v>222</v>
      </c>
      <c r="F56" s="430"/>
      <c r="G56" s="430"/>
      <c r="H56" s="430"/>
      <c r="I56" s="430"/>
      <c r="J56" s="430"/>
      <c r="K56" s="430"/>
      <c r="L56" s="430"/>
      <c r="M56" s="431"/>
      <c r="N56" s="431"/>
      <c r="O56" s="431"/>
      <c r="P56" s="431"/>
      <c r="Q56" s="431"/>
      <c r="R56" s="430"/>
      <c r="S56" s="1116"/>
    </row>
    <row r="57" spans="1:19" ht="15.75" customHeight="1" x14ac:dyDescent="0.2">
      <c r="A57" s="257"/>
      <c r="B57" s="299"/>
      <c r="C57" s="1701"/>
      <c r="D57" s="1649"/>
      <c r="E57" s="366" t="s">
        <v>302</v>
      </c>
      <c r="F57" s="365">
        <f>F61+F65</f>
        <v>15005777</v>
      </c>
      <c r="G57" s="365">
        <f t="shared" ref="G57:L57" si="47">G61+G65</f>
        <v>3451329</v>
      </c>
      <c r="H57" s="365">
        <f t="shared" si="47"/>
        <v>9949071</v>
      </c>
      <c r="I57" s="365">
        <f t="shared" si="47"/>
        <v>0</v>
      </c>
      <c r="J57" s="365">
        <f t="shared" si="47"/>
        <v>0</v>
      </c>
      <c r="K57" s="365">
        <f t="shared" si="47"/>
        <v>0</v>
      </c>
      <c r="L57" s="365">
        <f t="shared" si="47"/>
        <v>0</v>
      </c>
      <c r="M57" s="320">
        <f>SUM(F57:L57)</f>
        <v>28406177</v>
      </c>
      <c r="N57" s="320">
        <f>N61+N65</f>
        <v>1000000</v>
      </c>
      <c r="O57" s="320">
        <f t="shared" ref="O57:Q57" si="48">O61+O65</f>
        <v>0</v>
      </c>
      <c r="P57" s="320">
        <f t="shared" si="48"/>
        <v>0</v>
      </c>
      <c r="Q57" s="320">
        <f t="shared" si="48"/>
        <v>0</v>
      </c>
      <c r="R57" s="365">
        <f>SUM(M57:Q57)</f>
        <v>29406177</v>
      </c>
      <c r="S57" s="1117">
        <f>S61+S65</f>
        <v>6.25</v>
      </c>
    </row>
    <row r="58" spans="1:19" ht="15.75" customHeight="1" x14ac:dyDescent="0.2">
      <c r="A58" s="257"/>
      <c r="B58" s="299"/>
      <c r="C58" s="1701"/>
      <c r="D58" s="1649"/>
      <c r="E58" s="366" t="s">
        <v>303</v>
      </c>
      <c r="F58" s="365">
        <f t="shared" ref="F58:L59" si="49">F62+F66</f>
        <v>17010290</v>
      </c>
      <c r="G58" s="365">
        <f t="shared" si="49"/>
        <v>3888627</v>
      </c>
      <c r="H58" s="365">
        <f t="shared" si="49"/>
        <v>9573860</v>
      </c>
      <c r="I58" s="365">
        <f t="shared" si="49"/>
        <v>0</v>
      </c>
      <c r="J58" s="365">
        <f t="shared" si="49"/>
        <v>0</v>
      </c>
      <c r="K58" s="365">
        <f t="shared" si="49"/>
        <v>0</v>
      </c>
      <c r="L58" s="365">
        <f t="shared" si="49"/>
        <v>0</v>
      </c>
      <c r="M58" s="320">
        <f t="shared" ref="M58:M59" si="50">SUM(F58:L58)</f>
        <v>30472777</v>
      </c>
      <c r="N58" s="320">
        <f t="shared" ref="N58:Q59" si="51">N62+N66</f>
        <v>820000</v>
      </c>
      <c r="O58" s="320">
        <f t="shared" si="51"/>
        <v>0</v>
      </c>
      <c r="P58" s="320">
        <f t="shared" si="51"/>
        <v>0</v>
      </c>
      <c r="Q58" s="320">
        <f t="shared" si="51"/>
        <v>0</v>
      </c>
      <c r="R58" s="365">
        <f t="shared" ref="R58:R59" si="52">SUM(M58:Q58)</f>
        <v>31292777</v>
      </c>
      <c r="S58" s="1117">
        <f t="shared" ref="S58:S59" si="53">S62+S66</f>
        <v>6</v>
      </c>
    </row>
    <row r="59" spans="1:19" ht="15.75" customHeight="1" thickBot="1" x14ac:dyDescent="0.25">
      <c r="A59" s="257"/>
      <c r="B59" s="299"/>
      <c r="C59" s="1702"/>
      <c r="D59" s="1650"/>
      <c r="E59" s="432" t="s">
        <v>304</v>
      </c>
      <c r="F59" s="433">
        <f t="shared" si="49"/>
        <v>17010290</v>
      </c>
      <c r="G59" s="433">
        <f t="shared" si="49"/>
        <v>3789346</v>
      </c>
      <c r="H59" s="433">
        <f>H63+H67+1</f>
        <v>9289022.5800000001</v>
      </c>
      <c r="I59" s="433">
        <f t="shared" si="49"/>
        <v>0</v>
      </c>
      <c r="J59" s="433">
        <f t="shared" si="49"/>
        <v>0</v>
      </c>
      <c r="K59" s="433">
        <f t="shared" si="49"/>
        <v>0</v>
      </c>
      <c r="L59" s="433">
        <f t="shared" si="49"/>
        <v>0</v>
      </c>
      <c r="M59" s="434">
        <f t="shared" si="50"/>
        <v>30088658.579999998</v>
      </c>
      <c r="N59" s="434">
        <f>N63+N67</f>
        <v>699619.25</v>
      </c>
      <c r="O59" s="434">
        <f t="shared" si="51"/>
        <v>0</v>
      </c>
      <c r="P59" s="434">
        <f t="shared" si="51"/>
        <v>0</v>
      </c>
      <c r="Q59" s="434">
        <f t="shared" si="51"/>
        <v>0</v>
      </c>
      <c r="R59" s="433">
        <f t="shared" si="52"/>
        <v>30788277.829999998</v>
      </c>
      <c r="S59" s="1117">
        <f t="shared" si="53"/>
        <v>6</v>
      </c>
    </row>
    <row r="60" spans="1:19" ht="15.75" customHeight="1" x14ac:dyDescent="0.2">
      <c r="A60" s="257"/>
      <c r="B60" s="299"/>
      <c r="C60" s="428"/>
      <c r="D60" s="1654" t="s">
        <v>54</v>
      </c>
      <c r="E60" s="120" t="s">
        <v>65</v>
      </c>
      <c r="F60" s="222"/>
      <c r="G60" s="222"/>
      <c r="H60" s="222"/>
      <c r="I60" s="222"/>
      <c r="J60" s="222"/>
      <c r="K60" s="222"/>
      <c r="L60" s="222"/>
      <c r="M60" s="271"/>
      <c r="N60" s="271"/>
      <c r="O60" s="271"/>
      <c r="P60" s="271"/>
      <c r="Q60" s="271"/>
      <c r="R60" s="222"/>
      <c r="S60" s="128"/>
    </row>
    <row r="61" spans="1:19" ht="15.75" customHeight="1" x14ac:dyDescent="0.2">
      <c r="A61" s="257"/>
      <c r="B61" s="299"/>
      <c r="C61" s="427"/>
      <c r="D61" s="1654"/>
      <c r="E61" s="308" t="s">
        <v>302</v>
      </c>
      <c r="F61" s="232">
        <v>8195152</v>
      </c>
      <c r="G61" s="232">
        <v>1884885</v>
      </c>
      <c r="H61" s="232">
        <v>7265167</v>
      </c>
      <c r="I61" s="232"/>
      <c r="J61" s="232"/>
      <c r="K61" s="232"/>
      <c r="L61" s="227"/>
      <c r="M61" s="220">
        <f>SUM(F61:L61)</f>
        <v>17345204</v>
      </c>
      <c r="N61" s="231">
        <v>500000</v>
      </c>
      <c r="O61" s="220"/>
      <c r="P61" s="220"/>
      <c r="Q61" s="220"/>
      <c r="R61" s="227">
        <f>SUM(M61:Q61)</f>
        <v>17845204</v>
      </c>
      <c r="S61" s="106">
        <v>3.25</v>
      </c>
    </row>
    <row r="62" spans="1:19" s="103" customFormat="1" ht="15.75" customHeight="1" x14ac:dyDescent="0.2">
      <c r="A62" s="250">
        <v>1</v>
      </c>
      <c r="B62" s="355"/>
      <c r="C62" s="427"/>
      <c r="D62" s="1654"/>
      <c r="E62" s="308" t="s">
        <v>303</v>
      </c>
      <c r="F62" s="232">
        <v>9575170</v>
      </c>
      <c r="G62" s="232">
        <v>2221040</v>
      </c>
      <c r="H62" s="232">
        <v>6573860</v>
      </c>
      <c r="I62" s="232">
        <f t="shared" ref="I62:L62" si="54">I63+I66</f>
        <v>0</v>
      </c>
      <c r="J62" s="232">
        <f t="shared" si="54"/>
        <v>0</v>
      </c>
      <c r="K62" s="232">
        <f t="shared" si="54"/>
        <v>0</v>
      </c>
      <c r="L62" s="232">
        <f t="shared" si="54"/>
        <v>0</v>
      </c>
      <c r="M62" s="220">
        <f>SUM(F62:L62)</f>
        <v>18370070</v>
      </c>
      <c r="N62" s="231">
        <v>320000</v>
      </c>
      <c r="O62" s="231"/>
      <c r="P62" s="231"/>
      <c r="Q62" s="231"/>
      <c r="R62" s="227">
        <f>M62+N62+O62+P62+Q62</f>
        <v>18690070</v>
      </c>
      <c r="S62" s="106">
        <v>3</v>
      </c>
    </row>
    <row r="63" spans="1:19" s="103" customFormat="1" ht="15.75" customHeight="1" x14ac:dyDescent="0.2">
      <c r="A63" s="251"/>
      <c r="B63" s="356"/>
      <c r="C63" s="427"/>
      <c r="D63" s="1655"/>
      <c r="E63" s="308" t="s">
        <v>304</v>
      </c>
      <c r="F63" s="219">
        <f>5238008+2332761+2004401</f>
        <v>9575170</v>
      </c>
      <c r="G63" s="219">
        <f>1141348+527941+452470</f>
        <v>2121759</v>
      </c>
      <c r="H63" s="219">
        <f>401555.75+5945290.98+155997.45</f>
        <v>6502844.1800000006</v>
      </c>
      <c r="I63" s="219"/>
      <c r="J63" s="219"/>
      <c r="K63" s="219"/>
      <c r="L63" s="219">
        <v>0</v>
      </c>
      <c r="M63" s="220">
        <f t="shared" ref="M63:M65" si="55">SUM(F63:L63)</f>
        <v>18199773.18</v>
      </c>
      <c r="N63" s="221">
        <f>214433.25</f>
        <v>214433.25</v>
      </c>
      <c r="O63" s="221"/>
      <c r="P63" s="221"/>
      <c r="Q63" s="221"/>
      <c r="R63" s="222">
        <f t="shared" ref="R63:R67" si="56">M63+N63+O63+P63+Q63</f>
        <v>18414206.43</v>
      </c>
      <c r="S63" s="128">
        <v>3</v>
      </c>
    </row>
    <row r="64" spans="1:19" s="103" customFormat="1" ht="15.75" customHeight="1" x14ac:dyDescent="0.2">
      <c r="A64" s="251"/>
      <c r="B64" s="356"/>
      <c r="C64" s="438"/>
      <c r="D64" s="1651" t="s">
        <v>55</v>
      </c>
      <c r="E64" s="325" t="s">
        <v>66</v>
      </c>
      <c r="F64" s="219"/>
      <c r="G64" s="219"/>
      <c r="H64" s="219"/>
      <c r="I64" s="219"/>
      <c r="J64" s="219"/>
      <c r="K64" s="219"/>
      <c r="L64" s="219"/>
      <c r="M64" s="220"/>
      <c r="N64" s="221"/>
      <c r="O64" s="221"/>
      <c r="P64" s="221"/>
      <c r="Q64" s="221"/>
      <c r="R64" s="222"/>
      <c r="S64" s="128"/>
    </row>
    <row r="65" spans="1:19" s="103" customFormat="1" ht="15.75" customHeight="1" x14ac:dyDescent="0.2">
      <c r="A65" s="251"/>
      <c r="B65" s="356"/>
      <c r="C65" s="438"/>
      <c r="D65" s="1652"/>
      <c r="E65" s="308" t="s">
        <v>302</v>
      </c>
      <c r="F65" s="219">
        <v>6810625</v>
      </c>
      <c r="G65" s="219">
        <v>1566444</v>
      </c>
      <c r="H65" s="219">
        <v>2683904</v>
      </c>
      <c r="I65" s="219"/>
      <c r="J65" s="219"/>
      <c r="K65" s="219"/>
      <c r="L65" s="219"/>
      <c r="M65" s="220">
        <f t="shared" si="55"/>
        <v>11060973</v>
      </c>
      <c r="N65" s="221">
        <v>500000</v>
      </c>
      <c r="O65" s="221"/>
      <c r="P65" s="221"/>
      <c r="Q65" s="221"/>
      <c r="R65" s="222">
        <f t="shared" si="56"/>
        <v>11560973</v>
      </c>
      <c r="S65" s="128">
        <v>3</v>
      </c>
    </row>
    <row r="66" spans="1:19" s="103" customFormat="1" ht="15.75" customHeight="1" x14ac:dyDescent="0.2">
      <c r="A66" s="251"/>
      <c r="B66" s="356"/>
      <c r="C66" s="438"/>
      <c r="D66" s="1652"/>
      <c r="E66" s="308" t="s">
        <v>303</v>
      </c>
      <c r="F66" s="219">
        <v>7435120</v>
      </c>
      <c r="G66" s="219">
        <v>1667587</v>
      </c>
      <c r="H66" s="219">
        <v>3000000</v>
      </c>
      <c r="I66" s="219"/>
      <c r="J66" s="219"/>
      <c r="K66" s="219"/>
      <c r="L66" s="219">
        <v>0</v>
      </c>
      <c r="M66" s="220">
        <f>SUM(F66:L66)</f>
        <v>12102707</v>
      </c>
      <c r="N66" s="221">
        <v>500000</v>
      </c>
      <c r="O66" s="221"/>
      <c r="P66" s="221"/>
      <c r="Q66" s="221"/>
      <c r="R66" s="222">
        <f t="shared" si="56"/>
        <v>12602707</v>
      </c>
      <c r="S66" s="128">
        <v>3</v>
      </c>
    </row>
    <row r="67" spans="1:19" s="103" customFormat="1" ht="15.75" customHeight="1" x14ac:dyDescent="0.2">
      <c r="A67" s="251"/>
      <c r="B67" s="356"/>
      <c r="C67" s="439"/>
      <c r="D67" s="1653"/>
      <c r="E67" s="308" t="s">
        <v>304</v>
      </c>
      <c r="F67" s="219">
        <f>3005236+4429884</f>
        <v>7435120</v>
      </c>
      <c r="G67" s="219">
        <f>674604+992983</f>
        <v>1667587</v>
      </c>
      <c r="H67" s="219">
        <f>585124+2201053.4</f>
        <v>2786177.4</v>
      </c>
      <c r="I67" s="219"/>
      <c r="J67" s="219"/>
      <c r="K67" s="219"/>
      <c r="L67" s="219"/>
      <c r="M67" s="220">
        <f t="shared" ref="M67:M91" si="57">SUM(F67:L67)</f>
        <v>11888884.4</v>
      </c>
      <c r="N67" s="221">
        <f>453196+31990</f>
        <v>485186</v>
      </c>
      <c r="O67" s="221"/>
      <c r="P67" s="221"/>
      <c r="Q67" s="221"/>
      <c r="R67" s="222">
        <f t="shared" si="56"/>
        <v>12374070.4</v>
      </c>
      <c r="S67" s="128">
        <v>3</v>
      </c>
    </row>
    <row r="68" spans="1:19" s="103" customFormat="1" ht="15.75" customHeight="1" x14ac:dyDescent="0.2">
      <c r="A68" s="250">
        <v>2</v>
      </c>
      <c r="B68" s="355"/>
      <c r="C68" s="1703" t="s">
        <v>317</v>
      </c>
      <c r="D68" s="1656"/>
      <c r="E68" s="367" t="s">
        <v>223</v>
      </c>
      <c r="F68" s="216"/>
      <c r="G68" s="216"/>
      <c r="H68" s="216"/>
      <c r="I68" s="216"/>
      <c r="J68" s="216"/>
      <c r="K68" s="216"/>
      <c r="L68" s="216"/>
      <c r="M68" s="320"/>
      <c r="N68" s="217"/>
      <c r="O68" s="217"/>
      <c r="P68" s="217"/>
      <c r="Q68" s="217"/>
      <c r="R68" s="218"/>
      <c r="S68" s="1118"/>
    </row>
    <row r="69" spans="1:19" s="103" customFormat="1" ht="15.75" customHeight="1" x14ac:dyDescent="0.2">
      <c r="A69" s="250"/>
      <c r="B69" s="355"/>
      <c r="C69" s="1704"/>
      <c r="D69" s="1657"/>
      <c r="E69" s="361" t="s">
        <v>302</v>
      </c>
      <c r="F69" s="216">
        <f>F73+F77</f>
        <v>7065765</v>
      </c>
      <c r="G69" s="216">
        <f t="shared" ref="G69:L69" si="58">G73+G77</f>
        <v>1625126</v>
      </c>
      <c r="H69" s="216">
        <f t="shared" si="58"/>
        <v>22143082</v>
      </c>
      <c r="I69" s="216">
        <f t="shared" si="58"/>
        <v>0</v>
      </c>
      <c r="J69" s="216">
        <f t="shared" si="58"/>
        <v>0</v>
      </c>
      <c r="K69" s="216">
        <f t="shared" si="58"/>
        <v>0</v>
      </c>
      <c r="L69" s="216">
        <f t="shared" si="58"/>
        <v>0</v>
      </c>
      <c r="M69" s="320">
        <f t="shared" si="57"/>
        <v>30833973</v>
      </c>
      <c r="N69" s="217">
        <f>N73+N77</f>
        <v>0</v>
      </c>
      <c r="O69" s="217">
        <f t="shared" ref="O69:Q69" si="59">O73+O77</f>
        <v>0</v>
      </c>
      <c r="P69" s="217">
        <f t="shared" si="59"/>
        <v>0</v>
      </c>
      <c r="Q69" s="217">
        <f t="shared" si="59"/>
        <v>0</v>
      </c>
      <c r="R69" s="218">
        <f>SUM(M69:Q69)</f>
        <v>30833973</v>
      </c>
      <c r="S69" s="1118">
        <f>S73+S77</f>
        <v>3.75</v>
      </c>
    </row>
    <row r="70" spans="1:19" s="103" customFormat="1" ht="15.75" customHeight="1" x14ac:dyDescent="0.2">
      <c r="A70" s="250"/>
      <c r="B70" s="355"/>
      <c r="C70" s="1704"/>
      <c r="D70" s="1657"/>
      <c r="E70" s="361" t="s">
        <v>303</v>
      </c>
      <c r="F70" s="216">
        <f t="shared" ref="F70:L71" si="60">F74+F78</f>
        <v>7293581</v>
      </c>
      <c r="G70" s="216">
        <f t="shared" si="60"/>
        <v>1596702</v>
      </c>
      <c r="H70" s="216">
        <f t="shared" si="60"/>
        <v>20101556</v>
      </c>
      <c r="I70" s="216">
        <f t="shared" si="60"/>
        <v>0</v>
      </c>
      <c r="J70" s="216">
        <f t="shared" si="60"/>
        <v>0</v>
      </c>
      <c r="K70" s="216">
        <f t="shared" si="60"/>
        <v>0</v>
      </c>
      <c r="L70" s="216">
        <f t="shared" si="60"/>
        <v>0</v>
      </c>
      <c r="M70" s="320">
        <f t="shared" si="57"/>
        <v>28991839</v>
      </c>
      <c r="N70" s="217">
        <f t="shared" ref="N70:Q71" si="61">N74+N78</f>
        <v>180000</v>
      </c>
      <c r="O70" s="217">
        <f t="shared" si="61"/>
        <v>0</v>
      </c>
      <c r="P70" s="217">
        <f t="shared" si="61"/>
        <v>0</v>
      </c>
      <c r="Q70" s="217">
        <f t="shared" si="61"/>
        <v>0</v>
      </c>
      <c r="R70" s="218">
        <f t="shared" ref="R70:R91" si="62">SUM(M70:Q70)</f>
        <v>29171839</v>
      </c>
      <c r="S70" s="1118">
        <f t="shared" ref="S70:S71" si="63">S74+S78</f>
        <v>4</v>
      </c>
    </row>
    <row r="71" spans="1:19" s="103" customFormat="1" ht="15.75" customHeight="1" x14ac:dyDescent="0.2">
      <c r="A71" s="250"/>
      <c r="B71" s="355"/>
      <c r="C71" s="1705"/>
      <c r="D71" s="1658"/>
      <c r="E71" s="361" t="s">
        <v>304</v>
      </c>
      <c r="F71" s="216">
        <f t="shared" si="60"/>
        <v>7022771</v>
      </c>
      <c r="G71" s="216">
        <f t="shared" si="60"/>
        <v>1564583</v>
      </c>
      <c r="H71" s="216">
        <f>H75+H79-1</f>
        <v>19342745.82</v>
      </c>
      <c r="I71" s="216">
        <f t="shared" si="60"/>
        <v>0</v>
      </c>
      <c r="J71" s="216">
        <f t="shared" si="60"/>
        <v>0</v>
      </c>
      <c r="K71" s="216">
        <f t="shared" si="60"/>
        <v>0</v>
      </c>
      <c r="L71" s="216">
        <f t="shared" si="60"/>
        <v>0</v>
      </c>
      <c r="M71" s="320">
        <f t="shared" si="57"/>
        <v>27930099.82</v>
      </c>
      <c r="N71" s="217">
        <f>N75+N79+1</f>
        <v>171924.18</v>
      </c>
      <c r="O71" s="217">
        <f t="shared" si="61"/>
        <v>0</v>
      </c>
      <c r="P71" s="217">
        <f t="shared" si="61"/>
        <v>0</v>
      </c>
      <c r="Q71" s="217">
        <f t="shared" si="61"/>
        <v>0</v>
      </c>
      <c r="R71" s="218">
        <f t="shared" si="62"/>
        <v>28102024</v>
      </c>
      <c r="S71" s="1118">
        <f t="shared" si="63"/>
        <v>4</v>
      </c>
    </row>
    <row r="72" spans="1:19" s="103" customFormat="1" ht="15.75" customHeight="1" x14ac:dyDescent="0.2">
      <c r="A72" s="251"/>
      <c r="B72" s="356"/>
      <c r="C72" s="439"/>
      <c r="D72" s="368" t="s">
        <v>54</v>
      </c>
      <c r="E72" s="325" t="s">
        <v>65</v>
      </c>
      <c r="F72" s="219"/>
      <c r="G72" s="219"/>
      <c r="H72" s="219"/>
      <c r="I72" s="219"/>
      <c r="J72" s="219"/>
      <c r="K72" s="219"/>
      <c r="L72" s="219"/>
      <c r="M72" s="220">
        <f t="shared" si="57"/>
        <v>0</v>
      </c>
      <c r="N72" s="221"/>
      <c r="O72" s="221"/>
      <c r="P72" s="221"/>
      <c r="Q72" s="221"/>
      <c r="R72" s="222"/>
      <c r="S72" s="128"/>
    </row>
    <row r="73" spans="1:19" s="103" customFormat="1" ht="15.75" customHeight="1" x14ac:dyDescent="0.2">
      <c r="A73" s="250"/>
      <c r="B73" s="355"/>
      <c r="C73" s="439"/>
      <c r="D73" s="368"/>
      <c r="E73" s="308" t="s">
        <v>302</v>
      </c>
      <c r="F73" s="219">
        <v>4730592</v>
      </c>
      <c r="G73" s="219">
        <v>1088036</v>
      </c>
      <c r="H73" s="219">
        <v>16422345</v>
      </c>
      <c r="I73" s="219"/>
      <c r="J73" s="219"/>
      <c r="K73" s="219"/>
      <c r="L73" s="219"/>
      <c r="M73" s="220">
        <f t="shared" si="57"/>
        <v>22240973</v>
      </c>
      <c r="N73" s="221">
        <v>0</v>
      </c>
      <c r="O73" s="221"/>
      <c r="P73" s="221"/>
      <c r="Q73" s="221"/>
      <c r="R73" s="222">
        <f t="shared" si="62"/>
        <v>22240973</v>
      </c>
      <c r="S73" s="128">
        <v>2.5</v>
      </c>
    </row>
    <row r="74" spans="1:19" s="26" customFormat="1" ht="15.75" customHeight="1" x14ac:dyDescent="0.2">
      <c r="A74" s="252"/>
      <c r="B74" s="357"/>
      <c r="C74" s="549"/>
      <c r="D74" s="979"/>
      <c r="E74" s="308" t="s">
        <v>303</v>
      </c>
      <c r="F74" s="364">
        <f>4940592+2610285-F78-179620-77676</f>
        <v>3439988</v>
      </c>
      <c r="G74" s="363">
        <f>1136336+600366-G78-100000-40000</f>
        <v>742248</v>
      </c>
      <c r="H74" s="364">
        <f>17868253+233303+500000</f>
        <v>18601556</v>
      </c>
      <c r="I74" s="364"/>
      <c r="J74" s="363"/>
      <c r="K74" s="363"/>
      <c r="L74" s="363">
        <v>0</v>
      </c>
      <c r="M74" s="220">
        <f t="shared" si="57"/>
        <v>22783792</v>
      </c>
      <c r="N74" s="363">
        <v>150000</v>
      </c>
      <c r="O74" s="363"/>
      <c r="P74" s="363"/>
      <c r="Q74" s="363"/>
      <c r="R74" s="222">
        <f t="shared" si="62"/>
        <v>22933792</v>
      </c>
      <c r="S74" s="370">
        <v>2</v>
      </c>
    </row>
    <row r="75" spans="1:19" s="26" customFormat="1" ht="15.75" customHeight="1" x14ac:dyDescent="0.2">
      <c r="A75" s="253"/>
      <c r="B75" s="339"/>
      <c r="C75" s="548"/>
      <c r="D75" s="368"/>
      <c r="E75" s="308" t="s">
        <v>304</v>
      </c>
      <c r="F75" s="364">
        <v>3169178</v>
      </c>
      <c r="G75" s="363">
        <v>710129</v>
      </c>
      <c r="H75" s="364">
        <f>17868252.82+233302.66</f>
        <v>18101555.48</v>
      </c>
      <c r="I75" s="364"/>
      <c r="J75" s="363"/>
      <c r="K75" s="363"/>
      <c r="L75" s="363"/>
      <c r="M75" s="220">
        <f t="shared" si="57"/>
        <v>21980862.48</v>
      </c>
      <c r="N75" s="363">
        <f>145082+178.53</f>
        <v>145260.53</v>
      </c>
      <c r="O75" s="363"/>
      <c r="P75" s="363"/>
      <c r="Q75" s="363"/>
      <c r="R75" s="222">
        <f t="shared" si="62"/>
        <v>22126123.010000002</v>
      </c>
      <c r="S75" s="370">
        <v>2</v>
      </c>
    </row>
    <row r="76" spans="1:19" s="26" customFormat="1" ht="15.75" customHeight="1" x14ac:dyDescent="0.2">
      <c r="A76" s="253"/>
      <c r="B76" s="339"/>
      <c r="C76" s="548"/>
      <c r="D76" s="368" t="s">
        <v>55</v>
      </c>
      <c r="E76" s="223" t="s">
        <v>66</v>
      </c>
      <c r="F76" s="362"/>
      <c r="G76" s="363"/>
      <c r="H76" s="364"/>
      <c r="I76" s="364"/>
      <c r="J76" s="363"/>
      <c r="K76" s="363"/>
      <c r="L76" s="363"/>
      <c r="M76" s="220">
        <f t="shared" si="57"/>
        <v>0</v>
      </c>
      <c r="N76" s="363"/>
      <c r="O76" s="363"/>
      <c r="P76" s="363"/>
      <c r="Q76" s="363"/>
      <c r="R76" s="222"/>
      <c r="S76" s="370"/>
    </row>
    <row r="77" spans="1:19" s="26" customFormat="1" ht="15.75" customHeight="1" x14ac:dyDescent="0.2">
      <c r="A77" s="253"/>
      <c r="B77" s="339"/>
      <c r="C77" s="548"/>
      <c r="D77" s="368"/>
      <c r="E77" s="308" t="s">
        <v>302</v>
      </c>
      <c r="F77" s="362">
        <v>2335173</v>
      </c>
      <c r="G77" s="363">
        <v>537090</v>
      </c>
      <c r="H77" s="364">
        <v>5720737</v>
      </c>
      <c r="I77" s="364"/>
      <c r="J77" s="363"/>
      <c r="K77" s="363"/>
      <c r="L77" s="363"/>
      <c r="M77" s="220">
        <f t="shared" si="57"/>
        <v>8593000</v>
      </c>
      <c r="N77" s="363">
        <v>0</v>
      </c>
      <c r="O77" s="363"/>
      <c r="P77" s="363"/>
      <c r="Q77" s="363"/>
      <c r="R77" s="222">
        <f t="shared" si="62"/>
        <v>8593000</v>
      </c>
      <c r="S77" s="370">
        <v>1.25</v>
      </c>
    </row>
    <row r="78" spans="1:19" s="26" customFormat="1" ht="15.75" customHeight="1" thickBot="1" x14ac:dyDescent="0.25">
      <c r="A78" s="253"/>
      <c r="B78" s="358"/>
      <c r="C78" s="547"/>
      <c r="D78" s="980"/>
      <c r="E78" s="308" t="s">
        <v>303</v>
      </c>
      <c r="F78" s="362">
        <f>3853593</f>
        <v>3853593</v>
      </c>
      <c r="G78" s="363">
        <v>854454</v>
      </c>
      <c r="H78" s="364">
        <v>1500000</v>
      </c>
      <c r="I78" s="364"/>
      <c r="J78" s="363"/>
      <c r="K78" s="363"/>
      <c r="L78" s="363">
        <v>0</v>
      </c>
      <c r="M78" s="220">
        <f t="shared" si="57"/>
        <v>6208047</v>
      </c>
      <c r="N78" s="363">
        <v>30000</v>
      </c>
      <c r="O78" s="363"/>
      <c r="P78" s="363"/>
      <c r="Q78" s="363"/>
      <c r="R78" s="222">
        <f t="shared" si="62"/>
        <v>6238047</v>
      </c>
      <c r="S78" s="370">
        <v>2</v>
      </c>
    </row>
    <row r="79" spans="1:19" s="26" customFormat="1" ht="15.75" customHeight="1" thickBot="1" x14ac:dyDescent="0.25">
      <c r="A79" s="253"/>
      <c r="B79" s="359"/>
      <c r="C79" s="548"/>
      <c r="D79" s="980"/>
      <c r="E79" s="308" t="s">
        <v>304</v>
      </c>
      <c r="F79" s="362">
        <v>3853593</v>
      </c>
      <c r="G79" s="363">
        <v>854454</v>
      </c>
      <c r="H79" s="364">
        <f>1241191.34</f>
        <v>1241191.3400000001</v>
      </c>
      <c r="I79" s="364"/>
      <c r="J79" s="363"/>
      <c r="K79" s="363"/>
      <c r="L79" s="363"/>
      <c r="M79" s="220">
        <f t="shared" si="57"/>
        <v>5949238.3399999999</v>
      </c>
      <c r="N79" s="363">
        <f>26662.65</f>
        <v>26662.65</v>
      </c>
      <c r="O79" s="363"/>
      <c r="P79" s="363"/>
      <c r="Q79" s="363"/>
      <c r="R79" s="222">
        <f t="shared" si="62"/>
        <v>5975900.9900000002</v>
      </c>
      <c r="S79" s="370">
        <v>2</v>
      </c>
    </row>
    <row r="80" spans="1:19" s="26" customFormat="1" ht="15.75" customHeight="1" thickBot="1" x14ac:dyDescent="0.25">
      <c r="A80" s="253"/>
      <c r="B80" s="359"/>
      <c r="C80" s="1683" t="s">
        <v>318</v>
      </c>
      <c r="D80" s="1665"/>
      <c r="E80" s="360" t="s">
        <v>292</v>
      </c>
      <c r="F80" s="319"/>
      <c r="G80" s="319"/>
      <c r="H80" s="319"/>
      <c r="I80" s="319"/>
      <c r="J80" s="319"/>
      <c r="K80" s="319"/>
      <c r="L80" s="319"/>
      <c r="M80" s="320"/>
      <c r="N80" s="321"/>
      <c r="O80" s="321"/>
      <c r="P80" s="321"/>
      <c r="Q80" s="321"/>
      <c r="R80" s="322">
        <f t="shared" si="62"/>
        <v>0</v>
      </c>
      <c r="S80" s="323"/>
    </row>
    <row r="81" spans="1:19" s="26" customFormat="1" ht="15.75" customHeight="1" thickBot="1" x14ac:dyDescent="0.25">
      <c r="A81" s="253"/>
      <c r="B81" s="359"/>
      <c r="C81" s="1683"/>
      <c r="D81" s="1666"/>
      <c r="E81" s="361" t="s">
        <v>302</v>
      </c>
      <c r="F81" s="319">
        <f>F85+F89</f>
        <v>0</v>
      </c>
      <c r="G81" s="319">
        <f t="shared" ref="G81:L81" si="64">G85+G89</f>
        <v>0</v>
      </c>
      <c r="H81" s="319">
        <f t="shared" si="64"/>
        <v>0</v>
      </c>
      <c r="I81" s="319">
        <f t="shared" si="64"/>
        <v>0</v>
      </c>
      <c r="J81" s="319">
        <f t="shared" si="64"/>
        <v>0</v>
      </c>
      <c r="K81" s="319">
        <f t="shared" si="64"/>
        <v>0</v>
      </c>
      <c r="L81" s="319">
        <f t="shared" si="64"/>
        <v>0</v>
      </c>
      <c r="M81" s="320">
        <f t="shared" si="57"/>
        <v>0</v>
      </c>
      <c r="N81" s="321"/>
      <c r="O81" s="321"/>
      <c r="P81" s="321"/>
      <c r="Q81" s="321"/>
      <c r="R81" s="322">
        <f t="shared" si="62"/>
        <v>0</v>
      </c>
      <c r="S81" s="323"/>
    </row>
    <row r="82" spans="1:19" s="26" customFormat="1" ht="15.75" customHeight="1" thickBot="1" x14ac:dyDescent="0.25">
      <c r="A82" s="253"/>
      <c r="B82" s="359"/>
      <c r="C82" s="1683"/>
      <c r="D82" s="1666"/>
      <c r="E82" s="361" t="s">
        <v>303</v>
      </c>
      <c r="F82" s="319">
        <f t="shared" ref="F82:L83" si="65">F86+F90</f>
        <v>0</v>
      </c>
      <c r="G82" s="319">
        <f t="shared" si="65"/>
        <v>0</v>
      </c>
      <c r="H82" s="319">
        <f t="shared" si="65"/>
        <v>200000</v>
      </c>
      <c r="I82" s="319">
        <f t="shared" si="65"/>
        <v>0</v>
      </c>
      <c r="J82" s="319">
        <f t="shared" si="65"/>
        <v>0</v>
      </c>
      <c r="K82" s="319">
        <f t="shared" si="65"/>
        <v>0</v>
      </c>
      <c r="L82" s="319">
        <f t="shared" si="65"/>
        <v>0</v>
      </c>
      <c r="M82" s="320">
        <f t="shared" si="57"/>
        <v>200000</v>
      </c>
      <c r="N82" s="321"/>
      <c r="O82" s="321"/>
      <c r="P82" s="321"/>
      <c r="Q82" s="321"/>
      <c r="R82" s="322">
        <f>SUM(M82:Q82)</f>
        <v>200000</v>
      </c>
      <c r="S82" s="323"/>
    </row>
    <row r="83" spans="1:19" s="26" customFormat="1" ht="15.75" customHeight="1" thickBot="1" x14ac:dyDescent="0.25">
      <c r="A83" s="253"/>
      <c r="B83" s="359"/>
      <c r="C83" s="1683"/>
      <c r="D83" s="1667"/>
      <c r="E83" s="361" t="s">
        <v>304</v>
      </c>
      <c r="F83" s="319">
        <f t="shared" si="65"/>
        <v>0</v>
      </c>
      <c r="G83" s="319">
        <f t="shared" si="65"/>
        <v>0</v>
      </c>
      <c r="H83" s="319">
        <f t="shared" si="65"/>
        <v>195811</v>
      </c>
      <c r="I83" s="319">
        <f t="shared" si="65"/>
        <v>0</v>
      </c>
      <c r="J83" s="319">
        <f t="shared" si="65"/>
        <v>0</v>
      </c>
      <c r="K83" s="319">
        <f t="shared" si="65"/>
        <v>0</v>
      </c>
      <c r="L83" s="319">
        <f t="shared" si="65"/>
        <v>0</v>
      </c>
      <c r="M83" s="320">
        <f t="shared" si="57"/>
        <v>195811</v>
      </c>
      <c r="N83" s="321"/>
      <c r="O83" s="321"/>
      <c r="P83" s="321"/>
      <c r="Q83" s="321"/>
      <c r="R83" s="322">
        <f t="shared" si="62"/>
        <v>195811</v>
      </c>
      <c r="S83" s="323"/>
    </row>
    <row r="84" spans="1:19" s="26" customFormat="1" ht="15.75" customHeight="1" thickBot="1" x14ac:dyDescent="0.25">
      <c r="A84" s="253"/>
      <c r="B84" s="255"/>
      <c r="C84" s="545"/>
      <c r="D84" s="1651" t="s">
        <v>54</v>
      </c>
      <c r="E84" s="325" t="s">
        <v>65</v>
      </c>
      <c r="F84" s="232"/>
      <c r="G84" s="232"/>
      <c r="H84" s="232"/>
      <c r="I84" s="232"/>
      <c r="J84" s="232"/>
      <c r="K84" s="232"/>
      <c r="L84" s="232"/>
      <c r="M84" s="220">
        <f t="shared" si="57"/>
        <v>0</v>
      </c>
      <c r="N84" s="231"/>
      <c r="O84" s="231"/>
      <c r="P84" s="231"/>
      <c r="Q84" s="231"/>
      <c r="R84" s="222">
        <f t="shared" si="62"/>
        <v>0</v>
      </c>
      <c r="S84" s="106"/>
    </row>
    <row r="85" spans="1:19" s="26" customFormat="1" ht="15.75" customHeight="1" thickBot="1" x14ac:dyDescent="0.25">
      <c r="A85" s="253"/>
      <c r="B85" s="255"/>
      <c r="C85" s="545"/>
      <c r="D85" s="1652"/>
      <c r="E85" s="308" t="s">
        <v>302</v>
      </c>
      <c r="F85" s="232"/>
      <c r="G85" s="232"/>
      <c r="H85" s="232">
        <v>0</v>
      </c>
      <c r="I85" s="232"/>
      <c r="J85" s="232"/>
      <c r="K85" s="232"/>
      <c r="L85" s="232"/>
      <c r="M85" s="220">
        <f t="shared" si="57"/>
        <v>0</v>
      </c>
      <c r="N85" s="231"/>
      <c r="O85" s="231"/>
      <c r="P85" s="231"/>
      <c r="Q85" s="231"/>
      <c r="R85" s="222">
        <f t="shared" si="62"/>
        <v>0</v>
      </c>
      <c r="S85" s="106"/>
    </row>
    <row r="86" spans="1:19" s="26" customFormat="1" ht="15.75" customHeight="1" thickBot="1" x14ac:dyDescent="0.25">
      <c r="A86" s="253"/>
      <c r="B86" s="255"/>
      <c r="C86" s="545"/>
      <c r="D86" s="1652"/>
      <c r="E86" s="308" t="s">
        <v>303</v>
      </c>
      <c r="F86" s="362"/>
      <c r="G86" s="363"/>
      <c r="H86" s="364">
        <v>200000</v>
      </c>
      <c r="I86" s="364"/>
      <c r="J86" s="363"/>
      <c r="K86" s="363"/>
      <c r="L86" s="363">
        <v>0</v>
      </c>
      <c r="M86" s="220">
        <f t="shared" si="57"/>
        <v>200000</v>
      </c>
      <c r="N86" s="363">
        <v>0</v>
      </c>
      <c r="O86" s="363"/>
      <c r="P86" s="363"/>
      <c r="Q86" s="363"/>
      <c r="R86" s="222">
        <f t="shared" si="62"/>
        <v>200000</v>
      </c>
      <c r="S86" s="370"/>
    </row>
    <row r="87" spans="1:19" s="26" customFormat="1" ht="15.75" customHeight="1" thickBot="1" x14ac:dyDescent="0.25">
      <c r="A87" s="253"/>
      <c r="B87" s="255"/>
      <c r="C87" s="545"/>
      <c r="D87" s="1653"/>
      <c r="E87" s="308" t="s">
        <v>304</v>
      </c>
      <c r="F87" s="362"/>
      <c r="G87" s="363"/>
      <c r="H87" s="364">
        <v>195811</v>
      </c>
      <c r="I87" s="364"/>
      <c r="J87" s="363"/>
      <c r="K87" s="363"/>
      <c r="L87" s="363"/>
      <c r="M87" s="220">
        <f t="shared" si="57"/>
        <v>195811</v>
      </c>
      <c r="N87" s="363"/>
      <c r="O87" s="363"/>
      <c r="P87" s="363"/>
      <c r="Q87" s="363"/>
      <c r="R87" s="222">
        <f t="shared" si="62"/>
        <v>195811</v>
      </c>
      <c r="S87" s="370"/>
    </row>
    <row r="88" spans="1:19" s="26" customFormat="1" ht="15.75" customHeight="1" thickBot="1" x14ac:dyDescent="0.25">
      <c r="A88" s="253"/>
      <c r="B88" s="255"/>
      <c r="C88" s="545"/>
      <c r="D88" s="1651" t="s">
        <v>55</v>
      </c>
      <c r="E88" s="223" t="s">
        <v>66</v>
      </c>
      <c r="F88" s="362"/>
      <c r="G88" s="363"/>
      <c r="H88" s="364"/>
      <c r="I88" s="364"/>
      <c r="J88" s="363"/>
      <c r="K88" s="363"/>
      <c r="L88" s="363"/>
      <c r="M88" s="220">
        <f t="shared" si="57"/>
        <v>0</v>
      </c>
      <c r="N88" s="363"/>
      <c r="O88" s="363"/>
      <c r="P88" s="363"/>
      <c r="Q88" s="363"/>
      <c r="R88" s="222">
        <f t="shared" si="62"/>
        <v>0</v>
      </c>
      <c r="S88" s="370"/>
    </row>
    <row r="89" spans="1:19" s="26" customFormat="1" ht="15.75" customHeight="1" thickBot="1" x14ac:dyDescent="0.25">
      <c r="A89" s="253"/>
      <c r="B89" s="255"/>
      <c r="C89" s="545"/>
      <c r="D89" s="1652"/>
      <c r="E89" s="308" t="s">
        <v>302</v>
      </c>
      <c r="F89" s="362"/>
      <c r="G89" s="363"/>
      <c r="H89" s="364"/>
      <c r="I89" s="364"/>
      <c r="J89" s="363"/>
      <c r="K89" s="363"/>
      <c r="L89" s="363"/>
      <c r="M89" s="220">
        <f t="shared" si="57"/>
        <v>0</v>
      </c>
      <c r="N89" s="363"/>
      <c r="O89" s="363"/>
      <c r="P89" s="363"/>
      <c r="Q89" s="363"/>
      <c r="R89" s="222">
        <f t="shared" si="62"/>
        <v>0</v>
      </c>
      <c r="S89" s="370"/>
    </row>
    <row r="90" spans="1:19" s="26" customFormat="1" ht="15.75" customHeight="1" thickBot="1" x14ac:dyDescent="0.25">
      <c r="A90" s="253"/>
      <c r="B90" s="255"/>
      <c r="C90" s="545"/>
      <c r="D90" s="1652"/>
      <c r="E90" s="308" t="s">
        <v>303</v>
      </c>
      <c r="F90" s="362"/>
      <c r="G90" s="363"/>
      <c r="H90" s="364"/>
      <c r="I90" s="364"/>
      <c r="J90" s="363"/>
      <c r="K90" s="363"/>
      <c r="L90" s="363">
        <v>0</v>
      </c>
      <c r="M90" s="220">
        <f t="shared" si="57"/>
        <v>0</v>
      </c>
      <c r="N90" s="363">
        <v>0</v>
      </c>
      <c r="O90" s="363"/>
      <c r="P90" s="363"/>
      <c r="Q90" s="363"/>
      <c r="R90" s="222">
        <f t="shared" si="62"/>
        <v>0</v>
      </c>
      <c r="S90" s="370"/>
    </row>
    <row r="91" spans="1:19" s="26" customFormat="1" ht="15.75" customHeight="1" thickBot="1" x14ac:dyDescent="0.25">
      <c r="A91" s="253"/>
      <c r="B91" s="255"/>
      <c r="C91" s="440"/>
      <c r="D91" s="1668"/>
      <c r="E91" s="307" t="s">
        <v>304</v>
      </c>
      <c r="F91" s="326"/>
      <c r="G91" s="327"/>
      <c r="H91" s="328"/>
      <c r="I91" s="328"/>
      <c r="J91" s="327"/>
      <c r="K91" s="327"/>
      <c r="L91" s="327"/>
      <c r="M91" s="281">
        <f t="shared" si="57"/>
        <v>0</v>
      </c>
      <c r="N91" s="327"/>
      <c r="O91" s="327"/>
      <c r="P91" s="327"/>
      <c r="Q91" s="327"/>
      <c r="R91" s="284">
        <f t="shared" si="62"/>
        <v>0</v>
      </c>
      <c r="S91" s="329"/>
    </row>
    <row r="92" spans="1:19" s="26" customFormat="1" ht="15.75" customHeight="1" thickBot="1" x14ac:dyDescent="0.25">
      <c r="A92" s="253"/>
      <c r="B92" s="359"/>
      <c r="C92" s="1706" t="s">
        <v>4</v>
      </c>
      <c r="D92" s="1659"/>
      <c r="E92" s="407" t="s">
        <v>192</v>
      </c>
      <c r="F92" s="406"/>
      <c r="G92" s="375"/>
      <c r="H92" s="408"/>
      <c r="I92" s="410"/>
      <c r="J92" s="376"/>
      <c r="K92" s="378"/>
      <c r="L92" s="376"/>
      <c r="M92" s="385"/>
      <c r="N92" s="376"/>
      <c r="O92" s="376"/>
      <c r="P92" s="377"/>
      <c r="Q92" s="378"/>
      <c r="R92" s="379"/>
      <c r="S92" s="380"/>
    </row>
    <row r="93" spans="1:19" s="26" customFormat="1" ht="15.75" customHeight="1" thickBot="1" x14ac:dyDescent="0.25">
      <c r="A93" s="253"/>
      <c r="B93" s="359"/>
      <c r="C93" s="1707"/>
      <c r="D93" s="1659"/>
      <c r="E93" s="301" t="s">
        <v>302</v>
      </c>
      <c r="F93" s="406">
        <f>F97+F101</f>
        <v>33234872</v>
      </c>
      <c r="G93" s="374">
        <f t="shared" ref="G93:L93" si="66">G97+G101</f>
        <v>7644020</v>
      </c>
      <c r="H93" s="409">
        <f t="shared" si="66"/>
        <v>3098449</v>
      </c>
      <c r="I93" s="411">
        <f t="shared" si="66"/>
        <v>0</v>
      </c>
      <c r="J93" s="411">
        <f t="shared" si="66"/>
        <v>0</v>
      </c>
      <c r="K93" s="412">
        <f t="shared" si="66"/>
        <v>0</v>
      </c>
      <c r="L93" s="411">
        <f t="shared" si="66"/>
        <v>0</v>
      </c>
      <c r="M93" s="414">
        <f>SUM(F93:L93)</f>
        <v>43977341</v>
      </c>
      <c r="N93" s="381">
        <f>N97+N101</f>
        <v>0</v>
      </c>
      <c r="O93" s="381"/>
      <c r="P93" s="382"/>
      <c r="Q93" s="376"/>
      <c r="R93" s="383">
        <f>SUM(M93:Q93)</f>
        <v>43977341</v>
      </c>
      <c r="S93" s="380">
        <v>11</v>
      </c>
    </row>
    <row r="94" spans="1:19" ht="15.75" customHeight="1" thickBot="1" x14ac:dyDescent="0.25">
      <c r="A94" s="256" t="s">
        <v>4</v>
      </c>
      <c r="B94" s="373"/>
      <c r="C94" s="1707"/>
      <c r="D94" s="1659"/>
      <c r="E94" s="384" t="s">
        <v>303</v>
      </c>
      <c r="F94" s="374">
        <f t="shared" ref="F94:L95" si="67">F98+F102</f>
        <v>33043495</v>
      </c>
      <c r="G94" s="374">
        <f t="shared" si="67"/>
        <v>7327489</v>
      </c>
      <c r="H94" s="409">
        <f t="shared" si="67"/>
        <v>3585810</v>
      </c>
      <c r="I94" s="411">
        <f t="shared" si="67"/>
        <v>0</v>
      </c>
      <c r="J94" s="411">
        <f t="shared" si="67"/>
        <v>0</v>
      </c>
      <c r="K94" s="412">
        <f t="shared" si="67"/>
        <v>0</v>
      </c>
      <c r="L94" s="411">
        <f t="shared" si="67"/>
        <v>0</v>
      </c>
      <c r="M94" s="414">
        <f t="shared" ref="M94:M95" si="68">SUM(F94:L94)</f>
        <v>43956794</v>
      </c>
      <c r="N94" s="381">
        <f t="shared" ref="N94:N95" si="69">N98+N102</f>
        <v>202095</v>
      </c>
      <c r="O94" s="212">
        <f t="shared" ref="O94:Q94" si="70">O98+O103</f>
        <v>0</v>
      </c>
      <c r="P94" s="385">
        <f t="shared" si="70"/>
        <v>0</v>
      </c>
      <c r="Q94" s="212">
        <f t="shared" si="70"/>
        <v>0</v>
      </c>
      <c r="R94" s="383">
        <f t="shared" ref="R94:R95" si="71">SUM(M94:Q94)</f>
        <v>44158889</v>
      </c>
      <c r="S94" s="213">
        <v>11</v>
      </c>
    </row>
    <row r="95" spans="1:19" ht="15.75" customHeight="1" thickBot="1" x14ac:dyDescent="0.25">
      <c r="A95" s="257"/>
      <c r="B95" s="330"/>
      <c r="C95" s="1707"/>
      <c r="D95" s="435"/>
      <c r="E95" s="301" t="s">
        <v>304</v>
      </c>
      <c r="F95" s="374">
        <f t="shared" si="67"/>
        <v>32629203</v>
      </c>
      <c r="G95" s="374">
        <f t="shared" si="67"/>
        <v>7210663</v>
      </c>
      <c r="H95" s="409">
        <f t="shared" si="67"/>
        <v>3284771</v>
      </c>
      <c r="I95" s="411">
        <f t="shared" si="67"/>
        <v>0</v>
      </c>
      <c r="J95" s="411">
        <f t="shared" si="67"/>
        <v>0</v>
      </c>
      <c r="K95" s="412">
        <f t="shared" si="67"/>
        <v>0</v>
      </c>
      <c r="L95" s="411">
        <f t="shared" si="67"/>
        <v>0</v>
      </c>
      <c r="M95" s="414">
        <f t="shared" si="68"/>
        <v>43124637</v>
      </c>
      <c r="N95" s="381">
        <f t="shared" si="69"/>
        <v>202095</v>
      </c>
      <c r="O95" s="386"/>
      <c r="P95" s="387"/>
      <c r="Q95" s="386"/>
      <c r="R95" s="383">
        <f t="shared" si="71"/>
        <v>43326732</v>
      </c>
      <c r="S95" s="302">
        <v>11</v>
      </c>
    </row>
    <row r="96" spans="1:19" ht="15.75" customHeight="1" thickBot="1" x14ac:dyDescent="0.25">
      <c r="A96" s="257"/>
      <c r="B96" s="330"/>
      <c r="C96" s="1707"/>
      <c r="D96" s="436" t="s">
        <v>54</v>
      </c>
      <c r="E96" s="214" t="s">
        <v>65</v>
      </c>
      <c r="F96" s="212"/>
      <c r="G96" s="212"/>
      <c r="H96" s="212"/>
      <c r="I96" s="212"/>
      <c r="J96" s="212"/>
      <c r="K96" s="331"/>
      <c r="L96" s="212"/>
      <c r="M96" s="385"/>
      <c r="N96" s="212"/>
      <c r="O96" s="212"/>
      <c r="P96" s="385"/>
      <c r="Q96" s="212"/>
      <c r="R96" s="211"/>
      <c r="S96" s="302"/>
    </row>
    <row r="97" spans="1:19" ht="15.75" customHeight="1" thickBot="1" x14ac:dyDescent="0.25">
      <c r="A97" s="257"/>
      <c r="B97" s="330"/>
      <c r="C97" s="1707"/>
      <c r="D97" s="435"/>
      <c r="E97" s="301" t="s">
        <v>302</v>
      </c>
      <c r="F97" s="212">
        <v>33234872</v>
      </c>
      <c r="G97" s="212">
        <v>7644020</v>
      </c>
      <c r="H97" s="212">
        <v>3098449</v>
      </c>
      <c r="I97" s="212"/>
      <c r="J97" s="385"/>
      <c r="K97" s="413"/>
      <c r="L97" s="212"/>
      <c r="M97" s="385">
        <f>SUM(F97:L97)</f>
        <v>43977341</v>
      </c>
      <c r="N97" s="212">
        <v>0</v>
      </c>
      <c r="O97" s="212"/>
      <c r="P97" s="385"/>
      <c r="Q97" s="212"/>
      <c r="R97" s="211">
        <f>SUM(M97:Q97)</f>
        <v>43977341</v>
      </c>
      <c r="S97" s="302">
        <v>10</v>
      </c>
    </row>
    <row r="98" spans="1:19" ht="15.75" customHeight="1" thickBot="1" x14ac:dyDescent="0.25">
      <c r="A98" s="257"/>
      <c r="B98" s="330"/>
      <c r="C98" s="1707"/>
      <c r="D98" s="981"/>
      <c r="E98" s="301" t="s">
        <v>303</v>
      </c>
      <c r="F98" s="212">
        <v>33043495</v>
      </c>
      <c r="G98" s="212">
        <v>7327489</v>
      </c>
      <c r="H98" s="211">
        <f>3585810</f>
        <v>3585810</v>
      </c>
      <c r="I98" s="211"/>
      <c r="J98" s="212"/>
      <c r="K98" s="212"/>
      <c r="L98" s="212">
        <v>0</v>
      </c>
      <c r="M98" s="212">
        <f t="shared" ref="M98:M99" si="72">SUM(F98:L98)</f>
        <v>43956794</v>
      </c>
      <c r="N98" s="386">
        <f>'6 beruházások'!E40</f>
        <v>202095</v>
      </c>
      <c r="O98" s="212"/>
      <c r="P98" s="385"/>
      <c r="Q98" s="212"/>
      <c r="R98" s="211">
        <f t="shared" ref="R98:R99" si="73">SUM(M98:Q98)</f>
        <v>44158889</v>
      </c>
      <c r="S98" s="388">
        <v>11</v>
      </c>
    </row>
    <row r="99" spans="1:19" ht="15.75" customHeight="1" thickBot="1" x14ac:dyDescent="0.25">
      <c r="A99" s="257"/>
      <c r="B99" s="330"/>
      <c r="C99" s="1707"/>
      <c r="D99" s="981"/>
      <c r="E99" s="301" t="s">
        <v>304</v>
      </c>
      <c r="F99" s="212">
        <v>32629203</v>
      </c>
      <c r="G99" s="212">
        <v>7210663</v>
      </c>
      <c r="H99" s="211">
        <v>3284771</v>
      </c>
      <c r="I99" s="211"/>
      <c r="J99" s="212"/>
      <c r="K99" s="212"/>
      <c r="L99" s="212"/>
      <c r="M99" s="212">
        <f t="shared" si="72"/>
        <v>43124637</v>
      </c>
      <c r="N99" s="212">
        <v>202095</v>
      </c>
      <c r="O99" s="212"/>
      <c r="P99" s="385"/>
      <c r="Q99" s="212"/>
      <c r="R99" s="211">
        <f t="shared" si="73"/>
        <v>43326732</v>
      </c>
      <c r="S99" s="302">
        <v>11</v>
      </c>
    </row>
    <row r="100" spans="1:19" ht="15.75" customHeight="1" thickBot="1" x14ac:dyDescent="0.25">
      <c r="A100" s="257"/>
      <c r="B100" s="330"/>
      <c r="C100" s="1707"/>
      <c r="D100" s="1724" t="s">
        <v>55</v>
      </c>
      <c r="E100" s="214" t="s">
        <v>66</v>
      </c>
      <c r="F100" s="212"/>
      <c r="G100" s="212"/>
      <c r="H100" s="211"/>
      <c r="I100" s="211"/>
      <c r="J100" s="212"/>
      <c r="K100" s="212"/>
      <c r="L100" s="212"/>
      <c r="M100" s="212"/>
      <c r="N100" s="386"/>
      <c r="O100" s="386"/>
      <c r="P100" s="385"/>
      <c r="Q100" s="212"/>
      <c r="R100" s="211"/>
      <c r="S100" s="302"/>
    </row>
    <row r="101" spans="1:19" ht="15.75" customHeight="1" thickBot="1" x14ac:dyDescent="0.25">
      <c r="A101" s="257"/>
      <c r="B101" s="330"/>
      <c r="C101" s="1707"/>
      <c r="D101" s="1725"/>
      <c r="E101" s="301" t="s">
        <v>302</v>
      </c>
      <c r="F101" s="212"/>
      <c r="G101" s="212"/>
      <c r="H101" s="211"/>
      <c r="I101" s="211"/>
      <c r="J101" s="212"/>
      <c r="K101" s="212"/>
      <c r="L101" s="212"/>
      <c r="M101" s="212"/>
      <c r="N101" s="212"/>
      <c r="O101" s="212"/>
      <c r="P101" s="385"/>
      <c r="Q101" s="212"/>
      <c r="R101" s="211"/>
      <c r="S101" s="302">
        <v>1</v>
      </c>
    </row>
    <row r="102" spans="1:19" ht="15.75" customHeight="1" thickBot="1" x14ac:dyDescent="0.25">
      <c r="A102" s="257"/>
      <c r="B102" s="330"/>
      <c r="C102" s="1707"/>
      <c r="D102" s="1725"/>
      <c r="E102" s="301" t="s">
        <v>303</v>
      </c>
      <c r="F102" s="212"/>
      <c r="G102" s="212"/>
      <c r="H102" s="211"/>
      <c r="I102" s="211"/>
      <c r="J102" s="212"/>
      <c r="K102" s="212"/>
      <c r="L102" s="212"/>
      <c r="M102" s="212"/>
      <c r="N102" s="386"/>
      <c r="O102" s="389"/>
      <c r="P102" s="387"/>
      <c r="Q102" s="386"/>
      <c r="R102" s="211"/>
      <c r="S102" s="302">
        <v>0</v>
      </c>
    </row>
    <row r="103" spans="1:19" ht="15.75" customHeight="1" thickBot="1" x14ac:dyDescent="0.25">
      <c r="A103" s="258"/>
      <c r="B103" s="259"/>
      <c r="C103" s="1708"/>
      <c r="D103" s="1726"/>
      <c r="E103" s="301" t="s">
        <v>304</v>
      </c>
      <c r="F103" s="212">
        <v>0</v>
      </c>
      <c r="G103" s="212">
        <v>0</v>
      </c>
      <c r="H103" s="211">
        <v>0</v>
      </c>
      <c r="I103" s="211"/>
      <c r="J103" s="212"/>
      <c r="K103" s="212"/>
      <c r="L103" s="212"/>
      <c r="M103" s="212">
        <f t="shared" ref="M103" si="74">SUM(F103:L103)</f>
        <v>0</v>
      </c>
      <c r="N103" s="212"/>
      <c r="O103" s="390"/>
      <c r="P103" s="391"/>
      <c r="Q103" s="212"/>
      <c r="R103" s="211">
        <f t="shared" ref="R103" si="75">SUM(M103:Q103)</f>
        <v>0</v>
      </c>
      <c r="S103" s="213">
        <v>0</v>
      </c>
    </row>
    <row r="104" spans="1:19" ht="15.75" customHeight="1" thickBot="1" x14ac:dyDescent="0.25">
      <c r="A104" s="258"/>
      <c r="B104" s="259"/>
      <c r="C104" s="1709"/>
      <c r="D104" s="1722" t="s">
        <v>224</v>
      </c>
      <c r="E104" s="1723"/>
      <c r="F104" s="1723"/>
      <c r="G104" s="332"/>
      <c r="H104" s="332"/>
      <c r="I104" s="332"/>
      <c r="J104" s="392"/>
      <c r="K104" s="392"/>
      <c r="L104" s="392"/>
      <c r="M104" s="393"/>
      <c r="N104" s="392"/>
      <c r="O104" s="392"/>
      <c r="P104" s="392"/>
      <c r="Q104" s="392"/>
      <c r="R104" s="394"/>
      <c r="S104" s="261"/>
    </row>
    <row r="105" spans="1:19" ht="15.75" customHeight="1" thickBot="1" x14ac:dyDescent="0.25">
      <c r="A105" s="258"/>
      <c r="B105" s="259"/>
      <c r="C105" s="1710"/>
      <c r="D105" s="395"/>
      <c r="E105" s="396" t="s">
        <v>302</v>
      </c>
      <c r="F105" s="260">
        <f>F109+F113+F116</f>
        <v>77841630</v>
      </c>
      <c r="G105" s="260">
        <f t="shared" ref="G105:L105" si="76">G109+G113+G116</f>
        <v>17834574</v>
      </c>
      <c r="H105" s="260">
        <f t="shared" si="76"/>
        <v>34840421</v>
      </c>
      <c r="I105" s="260">
        <f t="shared" si="76"/>
        <v>1248000</v>
      </c>
      <c r="J105" s="260">
        <f t="shared" si="76"/>
        <v>0</v>
      </c>
      <c r="K105" s="260">
        <f t="shared" si="76"/>
        <v>0</v>
      </c>
      <c r="L105" s="260">
        <f t="shared" si="76"/>
        <v>0</v>
      </c>
      <c r="M105" s="260">
        <f>SUM(F105:L105)</f>
        <v>131764625</v>
      </c>
      <c r="N105" s="260">
        <f>N109+N113+N117</f>
        <v>1000000</v>
      </c>
      <c r="O105" s="260"/>
      <c r="P105" s="260"/>
      <c r="Q105" s="260"/>
      <c r="R105" s="397">
        <f>SUM(M105:Q105)</f>
        <v>132764625</v>
      </c>
      <c r="S105" s="1719"/>
    </row>
    <row r="106" spans="1:19" ht="15.75" customHeight="1" thickBot="1" x14ac:dyDescent="0.25">
      <c r="A106" s="982"/>
      <c r="B106" s="982"/>
      <c r="C106" s="1710"/>
      <c r="D106" s="983"/>
      <c r="E106" s="396" t="s">
        <v>303</v>
      </c>
      <c r="F106" s="260">
        <f>F110+F118</f>
        <v>89268380</v>
      </c>
      <c r="G106" s="260">
        <f>G110+G118</f>
        <v>19156606</v>
      </c>
      <c r="H106" s="260">
        <f t="shared" ref="H106:L106" si="77">H110+H114+H117</f>
        <v>46059694</v>
      </c>
      <c r="I106" s="260">
        <f t="shared" si="77"/>
        <v>1819000</v>
      </c>
      <c r="J106" s="260">
        <f t="shared" si="77"/>
        <v>0</v>
      </c>
      <c r="K106" s="260">
        <f t="shared" si="77"/>
        <v>0</v>
      </c>
      <c r="L106" s="260">
        <f t="shared" si="77"/>
        <v>0</v>
      </c>
      <c r="M106" s="260">
        <f t="shared" ref="M106:M119" si="78">SUM(F106:L106)</f>
        <v>156303680</v>
      </c>
      <c r="N106" s="260">
        <f t="shared" ref="N106" si="79">N110+N114+N118</f>
        <v>1775529</v>
      </c>
      <c r="O106" s="260">
        <f>O110+O115</f>
        <v>0</v>
      </c>
      <c r="P106" s="260">
        <f t="shared" ref="P106:Q106" si="80">P44+P94</f>
        <v>0</v>
      </c>
      <c r="Q106" s="260">
        <f t="shared" si="80"/>
        <v>0</v>
      </c>
      <c r="R106" s="397">
        <f t="shared" ref="R106:R119" si="81">SUM(M106:Q106)</f>
        <v>158079209</v>
      </c>
      <c r="S106" s="1720"/>
    </row>
    <row r="107" spans="1:19" ht="15.75" customHeight="1" thickBot="1" x14ac:dyDescent="0.25">
      <c r="A107" s="551"/>
      <c r="B107" s="552"/>
      <c r="C107" s="1710"/>
      <c r="D107" s="399"/>
      <c r="E107" s="396" t="s">
        <v>304</v>
      </c>
      <c r="F107" s="260">
        <f>F111+F115+F118</f>
        <v>83678942</v>
      </c>
      <c r="G107" s="260">
        <f t="shared" ref="G107:L107" si="82">G111+G115+G118</f>
        <v>18721327</v>
      </c>
      <c r="H107" s="260">
        <f>H111+H115+H119+1</f>
        <v>40265947.399999999</v>
      </c>
      <c r="I107" s="260">
        <f t="shared" si="82"/>
        <v>1819000</v>
      </c>
      <c r="J107" s="260">
        <f t="shared" si="82"/>
        <v>0</v>
      </c>
      <c r="K107" s="260">
        <f t="shared" si="82"/>
        <v>0</v>
      </c>
      <c r="L107" s="260">
        <f t="shared" si="82"/>
        <v>0</v>
      </c>
      <c r="M107" s="260">
        <f t="shared" si="78"/>
        <v>144485216.40000001</v>
      </c>
      <c r="N107" s="260">
        <f>N111+N115+N119+1</f>
        <v>1646643.4300000002</v>
      </c>
      <c r="O107" s="260"/>
      <c r="P107" s="260"/>
      <c r="Q107" s="260"/>
      <c r="R107" s="397">
        <f>SUM(M107:Q107)-1</f>
        <v>146131858.83000001</v>
      </c>
      <c r="S107" s="1720"/>
    </row>
    <row r="108" spans="1:19" ht="15.75" customHeight="1" thickBot="1" x14ac:dyDescent="0.25">
      <c r="A108" s="551"/>
      <c r="B108" s="552"/>
      <c r="C108" s="1710"/>
      <c r="D108" s="399"/>
      <c r="E108" s="400" t="s">
        <v>65</v>
      </c>
      <c r="F108" s="400"/>
      <c r="G108" s="400"/>
      <c r="H108" s="400"/>
      <c r="I108" s="260"/>
      <c r="J108" s="260"/>
      <c r="K108" s="260"/>
      <c r="L108" s="260"/>
      <c r="M108" s="260"/>
      <c r="N108" s="260"/>
      <c r="O108" s="260"/>
      <c r="P108" s="260"/>
      <c r="Q108" s="260"/>
      <c r="R108" s="397"/>
      <c r="S108" s="1720"/>
    </row>
    <row r="109" spans="1:19" ht="15.75" customHeight="1" thickBot="1" x14ac:dyDescent="0.25">
      <c r="A109" s="551"/>
      <c r="B109" s="552"/>
      <c r="C109" s="1710"/>
      <c r="D109" s="399"/>
      <c r="E109" s="396" t="s">
        <v>302</v>
      </c>
      <c r="F109" s="260">
        <f>F13+F49+F97</f>
        <v>77841630</v>
      </c>
      <c r="G109" s="260">
        <f t="shared" ref="G109:L109" si="83">G13+G49+G97</f>
        <v>17834574</v>
      </c>
      <c r="H109" s="260">
        <f t="shared" si="83"/>
        <v>34840421</v>
      </c>
      <c r="I109" s="260">
        <f t="shared" si="83"/>
        <v>1248000</v>
      </c>
      <c r="J109" s="260">
        <f t="shared" si="83"/>
        <v>0</v>
      </c>
      <c r="K109" s="260">
        <f t="shared" si="83"/>
        <v>0</v>
      </c>
      <c r="L109" s="260">
        <f t="shared" si="83"/>
        <v>0</v>
      </c>
      <c r="M109" s="260">
        <f t="shared" si="78"/>
        <v>131764625</v>
      </c>
      <c r="N109" s="260">
        <f>N13+N49+N97</f>
        <v>500000</v>
      </c>
      <c r="O109" s="260"/>
      <c r="P109" s="260"/>
      <c r="Q109" s="260"/>
      <c r="R109" s="397">
        <f t="shared" si="81"/>
        <v>132264625</v>
      </c>
      <c r="S109" s="1720"/>
    </row>
    <row r="110" spans="1:19" s="26" customFormat="1" ht="15.75" customHeight="1" thickBot="1" x14ac:dyDescent="0.25">
      <c r="A110" s="984"/>
      <c r="B110" s="984"/>
      <c r="C110" s="1710"/>
      <c r="D110" s="400"/>
      <c r="E110" s="396" t="s">
        <v>303</v>
      </c>
      <c r="F110" s="260">
        <f t="shared" ref="F110:L111" si="84">F14+F50+F98</f>
        <v>77979667</v>
      </c>
      <c r="G110" s="260">
        <f t="shared" si="84"/>
        <v>16634565</v>
      </c>
      <c r="H110" s="260">
        <f t="shared" si="84"/>
        <v>37655053</v>
      </c>
      <c r="I110" s="260">
        <f t="shared" si="84"/>
        <v>1819000</v>
      </c>
      <c r="J110" s="260">
        <f t="shared" si="84"/>
        <v>0</v>
      </c>
      <c r="K110" s="260">
        <f t="shared" si="84"/>
        <v>0</v>
      </c>
      <c r="L110" s="260">
        <f t="shared" si="84"/>
        <v>0</v>
      </c>
      <c r="M110" s="260">
        <f t="shared" si="78"/>
        <v>134088285</v>
      </c>
      <c r="N110" s="260">
        <f t="shared" ref="N110:N111" si="85">N14+N50+N98</f>
        <v>1245529</v>
      </c>
      <c r="O110" s="262">
        <f>O26+O50+O98</f>
        <v>0</v>
      </c>
      <c r="P110" s="262">
        <f t="shared" ref="P110:Q110" si="86">P74+P94</f>
        <v>0</v>
      </c>
      <c r="Q110" s="262">
        <f t="shared" si="86"/>
        <v>0</v>
      </c>
      <c r="R110" s="397">
        <f t="shared" si="81"/>
        <v>135333814</v>
      </c>
      <c r="S110" s="1720"/>
    </row>
    <row r="111" spans="1:19" s="26" customFormat="1" ht="15.75" customHeight="1" thickBot="1" x14ac:dyDescent="0.25">
      <c r="A111" s="291"/>
      <c r="B111" s="292"/>
      <c r="C111" s="1710"/>
      <c r="D111" s="401"/>
      <c r="E111" s="396" t="s">
        <v>304</v>
      </c>
      <c r="F111" s="260">
        <f t="shared" si="84"/>
        <v>72390229</v>
      </c>
      <c r="G111" s="260">
        <f t="shared" si="84"/>
        <v>16199286</v>
      </c>
      <c r="H111" s="260">
        <f>H15+H51+H99</f>
        <v>36238577.659999996</v>
      </c>
      <c r="I111" s="260">
        <f t="shared" si="84"/>
        <v>1819000</v>
      </c>
      <c r="J111" s="260">
        <f t="shared" si="84"/>
        <v>0</v>
      </c>
      <c r="K111" s="260">
        <f t="shared" si="84"/>
        <v>0</v>
      </c>
      <c r="L111" s="260">
        <f t="shared" si="84"/>
        <v>0</v>
      </c>
      <c r="M111" s="260">
        <f t="shared" si="78"/>
        <v>126647092.66</v>
      </c>
      <c r="N111" s="260">
        <f t="shared" si="85"/>
        <v>1134793.78</v>
      </c>
      <c r="O111" s="262"/>
      <c r="P111" s="262"/>
      <c r="Q111" s="262"/>
      <c r="R111" s="397">
        <f t="shared" si="81"/>
        <v>127781886.44</v>
      </c>
      <c r="S111" s="1720"/>
    </row>
    <row r="112" spans="1:19" s="26" customFormat="1" ht="15.75" customHeight="1" thickBot="1" x14ac:dyDescent="0.25">
      <c r="A112" s="291"/>
      <c r="B112" s="292"/>
      <c r="C112" s="1710"/>
      <c r="D112" s="400"/>
      <c r="E112" s="333" t="s">
        <v>71</v>
      </c>
      <c r="F112" s="400"/>
      <c r="G112" s="400"/>
      <c r="H112" s="262"/>
      <c r="I112" s="262"/>
      <c r="J112" s="262"/>
      <c r="K112" s="262"/>
      <c r="L112" s="262"/>
      <c r="M112" s="260">
        <f t="shared" si="78"/>
        <v>0</v>
      </c>
      <c r="N112" s="262"/>
      <c r="O112" s="262"/>
      <c r="P112" s="262"/>
      <c r="Q112" s="262"/>
      <c r="R112" s="397">
        <f t="shared" si="81"/>
        <v>0</v>
      </c>
      <c r="S112" s="1720"/>
    </row>
    <row r="113" spans="1:19" s="26" customFormat="1" ht="15.75" customHeight="1" thickBot="1" x14ac:dyDescent="0.25">
      <c r="A113" s="291"/>
      <c r="B113" s="292"/>
      <c r="C113" s="1710"/>
      <c r="D113" s="401"/>
      <c r="E113" s="396" t="s">
        <v>302</v>
      </c>
      <c r="F113" s="262"/>
      <c r="G113" s="262"/>
      <c r="H113" s="262"/>
      <c r="I113" s="262"/>
      <c r="J113" s="262"/>
      <c r="K113" s="262"/>
      <c r="L113" s="262"/>
      <c r="M113" s="260">
        <f t="shared" si="78"/>
        <v>0</v>
      </c>
      <c r="N113" s="262"/>
      <c r="O113" s="262"/>
      <c r="P113" s="262"/>
      <c r="Q113" s="262"/>
      <c r="R113" s="397">
        <f t="shared" si="81"/>
        <v>0</v>
      </c>
      <c r="S113" s="1720"/>
    </row>
    <row r="114" spans="1:19" s="26" customFormat="1" ht="15.75" customHeight="1" thickBot="1" x14ac:dyDescent="0.25">
      <c r="A114" s="291"/>
      <c r="B114" s="292"/>
      <c r="C114" s="1710"/>
      <c r="D114" s="401"/>
      <c r="E114" s="396" t="s">
        <v>303</v>
      </c>
      <c r="F114" s="262"/>
      <c r="G114" s="262"/>
      <c r="H114" s="262"/>
      <c r="I114" s="262"/>
      <c r="J114" s="262"/>
      <c r="K114" s="262"/>
      <c r="L114" s="262"/>
      <c r="M114" s="260">
        <f t="shared" si="78"/>
        <v>0</v>
      </c>
      <c r="N114" s="262"/>
      <c r="O114" s="262"/>
      <c r="P114" s="262"/>
      <c r="Q114" s="262"/>
      <c r="R114" s="397">
        <f t="shared" si="81"/>
        <v>0</v>
      </c>
      <c r="S114" s="1720"/>
    </row>
    <row r="115" spans="1:19" s="26" customFormat="1" ht="15.75" customHeight="1" thickBot="1" x14ac:dyDescent="0.25">
      <c r="A115" s="984"/>
      <c r="B115" s="984"/>
      <c r="C115" s="1710"/>
      <c r="D115" s="400"/>
      <c r="E115" s="396" t="s">
        <v>304</v>
      </c>
      <c r="F115" s="262">
        <v>0</v>
      </c>
      <c r="G115" s="262">
        <v>0</v>
      </c>
      <c r="H115" s="262">
        <v>0</v>
      </c>
      <c r="I115" s="262">
        <v>0</v>
      </c>
      <c r="J115" s="262">
        <v>0</v>
      </c>
      <c r="K115" s="262">
        <v>0</v>
      </c>
      <c r="L115" s="262">
        <v>0</v>
      </c>
      <c r="M115" s="260">
        <f t="shared" si="78"/>
        <v>0</v>
      </c>
      <c r="N115" s="262"/>
      <c r="O115" s="262">
        <f>O30+O54+O103</f>
        <v>0</v>
      </c>
      <c r="P115" s="262">
        <v>0</v>
      </c>
      <c r="Q115" s="262">
        <v>0</v>
      </c>
      <c r="R115" s="397">
        <f t="shared" si="81"/>
        <v>0</v>
      </c>
      <c r="S115" s="1720"/>
    </row>
    <row r="116" spans="1:19" s="26" customFormat="1" ht="15.75" customHeight="1" thickBot="1" x14ac:dyDescent="0.25">
      <c r="A116" s="984"/>
      <c r="B116" s="984"/>
      <c r="C116" s="1710"/>
      <c r="D116" s="400"/>
      <c r="E116" s="402" t="s">
        <v>305</v>
      </c>
      <c r="F116" s="262"/>
      <c r="G116" s="262"/>
      <c r="H116" s="262"/>
      <c r="I116" s="262"/>
      <c r="J116" s="262"/>
      <c r="K116" s="262"/>
      <c r="L116" s="262"/>
      <c r="M116" s="260"/>
      <c r="N116" s="262"/>
      <c r="O116" s="262"/>
      <c r="P116" s="262"/>
      <c r="Q116" s="262"/>
      <c r="R116" s="397"/>
      <c r="S116" s="1720"/>
    </row>
    <row r="117" spans="1:19" s="26" customFormat="1" ht="15.75" customHeight="1" thickBot="1" x14ac:dyDescent="0.25">
      <c r="A117" s="324" t="s">
        <v>302</v>
      </c>
      <c r="B117" s="371" t="s">
        <v>302</v>
      </c>
      <c r="C117" s="1710"/>
      <c r="D117" s="396"/>
      <c r="E117" s="396" t="s">
        <v>302</v>
      </c>
      <c r="F117" s="262">
        <f>F17+F53+F101</f>
        <v>9145798</v>
      </c>
      <c r="G117" s="262">
        <f t="shared" ref="G117:Q117" si="87">G17+G53+G101</f>
        <v>2103534</v>
      </c>
      <c r="H117" s="262">
        <f t="shared" si="87"/>
        <v>8404641</v>
      </c>
      <c r="I117" s="262">
        <f t="shared" si="87"/>
        <v>0</v>
      </c>
      <c r="J117" s="262">
        <f t="shared" si="87"/>
        <v>0</v>
      </c>
      <c r="K117" s="262">
        <f t="shared" si="87"/>
        <v>0</v>
      </c>
      <c r="L117" s="262">
        <f t="shared" si="87"/>
        <v>0</v>
      </c>
      <c r="M117" s="260">
        <f t="shared" si="78"/>
        <v>19653973</v>
      </c>
      <c r="N117" s="262">
        <f t="shared" si="87"/>
        <v>500000</v>
      </c>
      <c r="O117" s="262">
        <f t="shared" si="87"/>
        <v>0</v>
      </c>
      <c r="P117" s="262">
        <f t="shared" si="87"/>
        <v>0</v>
      </c>
      <c r="Q117" s="262">
        <f t="shared" si="87"/>
        <v>0</v>
      </c>
      <c r="R117" s="397">
        <f t="shared" si="81"/>
        <v>20153973</v>
      </c>
      <c r="S117" s="1720"/>
    </row>
    <row r="118" spans="1:19" s="26" customFormat="1" ht="15.75" customHeight="1" thickBot="1" x14ac:dyDescent="0.25">
      <c r="A118" s="324" t="s">
        <v>303</v>
      </c>
      <c r="B118" s="371" t="s">
        <v>303</v>
      </c>
      <c r="C118" s="1710"/>
      <c r="D118" s="396"/>
      <c r="E118" s="396" t="s">
        <v>303</v>
      </c>
      <c r="F118" s="262">
        <f t="shared" ref="F118:Q119" si="88">F18+F54+F102</f>
        <v>11288713</v>
      </c>
      <c r="G118" s="262">
        <f t="shared" si="88"/>
        <v>2522041</v>
      </c>
      <c r="H118" s="262">
        <f t="shared" si="88"/>
        <v>4500000</v>
      </c>
      <c r="I118" s="262">
        <f t="shared" si="88"/>
        <v>0</v>
      </c>
      <c r="J118" s="262">
        <f t="shared" si="88"/>
        <v>0</v>
      </c>
      <c r="K118" s="262">
        <f t="shared" si="88"/>
        <v>0</v>
      </c>
      <c r="L118" s="262">
        <f t="shared" si="88"/>
        <v>0</v>
      </c>
      <c r="M118" s="260">
        <f t="shared" si="78"/>
        <v>18310754</v>
      </c>
      <c r="N118" s="262">
        <f t="shared" si="88"/>
        <v>530000</v>
      </c>
      <c r="O118" s="262">
        <f t="shared" si="88"/>
        <v>0</v>
      </c>
      <c r="P118" s="262">
        <f t="shared" si="88"/>
        <v>0</v>
      </c>
      <c r="Q118" s="262">
        <f t="shared" si="88"/>
        <v>0</v>
      </c>
      <c r="R118" s="397">
        <f t="shared" si="81"/>
        <v>18840754</v>
      </c>
      <c r="S118" s="1720"/>
    </row>
    <row r="119" spans="1:19" s="26" customFormat="1" ht="15.75" customHeight="1" thickBot="1" x14ac:dyDescent="0.25">
      <c r="A119" s="307" t="s">
        <v>304</v>
      </c>
      <c r="B119" s="372" t="s">
        <v>304</v>
      </c>
      <c r="C119" s="1711"/>
      <c r="D119" s="396"/>
      <c r="E119" s="396" t="s">
        <v>304</v>
      </c>
      <c r="F119" s="262">
        <f t="shared" si="88"/>
        <v>11288713</v>
      </c>
      <c r="G119" s="262">
        <f t="shared" si="88"/>
        <v>2522041</v>
      </c>
      <c r="H119" s="262">
        <f>H19+H55+H103</f>
        <v>4027368.74</v>
      </c>
      <c r="I119" s="262">
        <f t="shared" si="88"/>
        <v>0</v>
      </c>
      <c r="J119" s="262">
        <f t="shared" si="88"/>
        <v>0</v>
      </c>
      <c r="K119" s="262">
        <f t="shared" si="88"/>
        <v>0</v>
      </c>
      <c r="L119" s="262">
        <f t="shared" si="88"/>
        <v>0</v>
      </c>
      <c r="M119" s="260">
        <f t="shared" si="78"/>
        <v>17838122.740000002</v>
      </c>
      <c r="N119" s="262">
        <f t="shared" si="88"/>
        <v>511848.65</v>
      </c>
      <c r="O119" s="262">
        <f t="shared" si="88"/>
        <v>0</v>
      </c>
      <c r="P119" s="262">
        <f t="shared" si="88"/>
        <v>0</v>
      </c>
      <c r="Q119" s="262">
        <f t="shared" si="88"/>
        <v>0</v>
      </c>
      <c r="R119" s="397">
        <f t="shared" si="81"/>
        <v>18349971.390000001</v>
      </c>
      <c r="S119" s="1721"/>
    </row>
    <row r="120" spans="1:19" s="442" customFormat="1" ht="15.75" customHeight="1" thickBot="1" x14ac:dyDescent="0.25">
      <c r="A120" s="425"/>
      <c r="B120" s="425"/>
      <c r="C120" s="1712"/>
      <c r="D120" s="1712"/>
      <c r="E120" s="1712"/>
      <c r="F120" s="1712"/>
      <c r="G120" s="1712"/>
      <c r="H120" s="1712"/>
      <c r="I120" s="1712"/>
      <c r="J120" s="1712"/>
      <c r="K120" s="1712"/>
      <c r="L120" s="1712"/>
      <c r="M120" s="1712"/>
      <c r="N120" s="1712"/>
      <c r="O120" s="1712"/>
      <c r="P120" s="1712"/>
      <c r="Q120" s="1712"/>
      <c r="R120" s="1712"/>
      <c r="S120" s="1713"/>
    </row>
    <row r="121" spans="1:19" s="26" customFormat="1" ht="15.75" customHeight="1" thickBot="1" x14ac:dyDescent="0.25">
      <c r="A121" s="263"/>
      <c r="B121" s="264"/>
      <c r="C121" s="1714" t="s">
        <v>47</v>
      </c>
      <c r="D121" s="962"/>
      <c r="E121" s="963" t="s">
        <v>227</v>
      </c>
      <c r="F121" s="964"/>
      <c r="G121" s="964"/>
      <c r="H121" s="964"/>
      <c r="I121" s="964"/>
      <c r="J121" s="964"/>
      <c r="K121" s="964"/>
      <c r="L121" s="964"/>
      <c r="M121" s="964"/>
      <c r="N121" s="964"/>
      <c r="O121" s="964"/>
      <c r="P121" s="964"/>
      <c r="Q121" s="964"/>
      <c r="R121" s="964"/>
      <c r="S121" s="965"/>
    </row>
    <row r="122" spans="1:19" s="26" customFormat="1" ht="15.75" customHeight="1" thickBot="1" x14ac:dyDescent="0.25">
      <c r="A122" s="263"/>
      <c r="B122" s="264"/>
      <c r="C122" s="1715"/>
      <c r="D122" s="962"/>
      <c r="E122" s="966" t="s">
        <v>302</v>
      </c>
      <c r="F122" s="964">
        <f>F126</f>
        <v>10559899</v>
      </c>
      <c r="G122" s="964">
        <f t="shared" ref="G122:L122" si="89">G126</f>
        <v>2479768</v>
      </c>
      <c r="H122" s="964">
        <f t="shared" si="89"/>
        <v>12473244</v>
      </c>
      <c r="I122" s="964">
        <f t="shared" si="89"/>
        <v>0</v>
      </c>
      <c r="J122" s="964">
        <f>J126+J130</f>
        <v>1948059</v>
      </c>
      <c r="K122" s="964">
        <f>K126+K130</f>
        <v>3083040</v>
      </c>
      <c r="L122" s="964">
        <f t="shared" si="89"/>
        <v>500000</v>
      </c>
      <c r="M122" s="964">
        <f>SUM(F122:L122)</f>
        <v>31044010</v>
      </c>
      <c r="N122" s="964"/>
      <c r="O122" s="964"/>
      <c r="P122" s="964"/>
      <c r="Q122" s="964"/>
      <c r="R122" s="964">
        <f>SUM(M122:Q122)</f>
        <v>31044010</v>
      </c>
      <c r="S122" s="965">
        <v>2</v>
      </c>
    </row>
    <row r="123" spans="1:19" ht="15.75" customHeight="1" thickBot="1" x14ac:dyDescent="0.25">
      <c r="A123" s="265">
        <v>1</v>
      </c>
      <c r="B123" s="403"/>
      <c r="C123" s="1715"/>
      <c r="D123" s="967"/>
      <c r="E123" s="966" t="s">
        <v>303</v>
      </c>
      <c r="F123" s="964">
        <f t="shared" ref="F123:Q124" si="90">F127</f>
        <v>9729802</v>
      </c>
      <c r="G123" s="968">
        <f t="shared" ref="G123:L123" si="91">G127+G132</f>
        <v>2288845.46</v>
      </c>
      <c r="H123" s="964">
        <f t="shared" ref="H123" si="92">H127</f>
        <v>15842903</v>
      </c>
      <c r="I123" s="968">
        <f t="shared" si="91"/>
        <v>0</v>
      </c>
      <c r="J123" s="964">
        <f>J127</f>
        <v>55566</v>
      </c>
      <c r="K123" s="964">
        <f t="shared" ref="K123:K124" si="93">K127+K131</f>
        <v>5400351</v>
      </c>
      <c r="L123" s="968">
        <f t="shared" si="91"/>
        <v>500000</v>
      </c>
      <c r="M123" s="964">
        <f t="shared" ref="M123:M124" si="94">SUM(F123:L123)</f>
        <v>33817467.460000001</v>
      </c>
      <c r="N123" s="968">
        <f>N127+N132</f>
        <v>1019729</v>
      </c>
      <c r="O123" s="968">
        <f>O139+O145+O323</f>
        <v>0</v>
      </c>
      <c r="P123" s="968">
        <f>P139+P145+P323</f>
        <v>0</v>
      </c>
      <c r="Q123" s="968">
        <f>Q139+Q145+Q323</f>
        <v>0</v>
      </c>
      <c r="R123" s="964">
        <f t="shared" ref="R123:R124" si="95">SUM(M123:Q123)</f>
        <v>34837196.460000001</v>
      </c>
      <c r="S123" s="969">
        <f>S139+S143</f>
        <v>2</v>
      </c>
    </row>
    <row r="124" spans="1:19" ht="15.75" customHeight="1" thickBot="1" x14ac:dyDescent="0.25">
      <c r="A124" s="266"/>
      <c r="B124" s="403"/>
      <c r="C124" s="1715"/>
      <c r="D124" s="967"/>
      <c r="E124" s="966" t="s">
        <v>304</v>
      </c>
      <c r="F124" s="964">
        <f t="shared" si="90"/>
        <v>8803963</v>
      </c>
      <c r="G124" s="964">
        <f t="shared" si="90"/>
        <v>2008952</v>
      </c>
      <c r="H124" s="964">
        <f t="shared" si="90"/>
        <v>15811617</v>
      </c>
      <c r="I124" s="964">
        <f t="shared" si="90"/>
        <v>0</v>
      </c>
      <c r="J124" s="964">
        <f>J128</f>
        <v>55566</v>
      </c>
      <c r="K124" s="964">
        <f t="shared" si="93"/>
        <v>5175622</v>
      </c>
      <c r="L124" s="964">
        <f t="shared" si="90"/>
        <v>0</v>
      </c>
      <c r="M124" s="964">
        <f t="shared" si="94"/>
        <v>31855720</v>
      </c>
      <c r="N124" s="964">
        <f t="shared" si="90"/>
        <v>79390</v>
      </c>
      <c r="O124" s="964">
        <f t="shared" si="90"/>
        <v>0</v>
      </c>
      <c r="P124" s="964">
        <f t="shared" si="90"/>
        <v>0</v>
      </c>
      <c r="Q124" s="964">
        <f t="shared" si="90"/>
        <v>0</v>
      </c>
      <c r="R124" s="964">
        <f t="shared" si="95"/>
        <v>31935110</v>
      </c>
      <c r="S124" s="969">
        <v>1</v>
      </c>
    </row>
    <row r="125" spans="1:19" ht="15.75" customHeight="1" thickBot="1" x14ac:dyDescent="0.25">
      <c r="A125" s="266"/>
      <c r="B125" s="403"/>
      <c r="C125" s="1715"/>
      <c r="D125" s="967"/>
      <c r="E125" s="970" t="s">
        <v>65</v>
      </c>
      <c r="F125" s="968"/>
      <c r="G125" s="968"/>
      <c r="H125" s="968"/>
      <c r="I125" s="968"/>
      <c r="J125" s="968"/>
      <c r="K125" s="968"/>
      <c r="L125" s="968"/>
      <c r="M125" s="968"/>
      <c r="N125" s="968"/>
      <c r="O125" s="968"/>
      <c r="P125" s="968"/>
      <c r="Q125" s="968"/>
      <c r="R125" s="971"/>
      <c r="S125" s="969"/>
    </row>
    <row r="126" spans="1:19" ht="15.75" customHeight="1" thickBot="1" x14ac:dyDescent="0.25">
      <c r="A126" s="266"/>
      <c r="B126" s="403"/>
      <c r="C126" s="1715"/>
      <c r="D126" s="967"/>
      <c r="E126" s="966" t="s">
        <v>302</v>
      </c>
      <c r="F126" s="968">
        <f>F138</f>
        <v>10559899</v>
      </c>
      <c r="G126" s="968">
        <f t="shared" ref="G126:Q126" si="96">G138</f>
        <v>2479768</v>
      </c>
      <c r="H126" s="968">
        <f>H138+H150+H166</f>
        <v>12473244</v>
      </c>
      <c r="I126" s="968">
        <v>0</v>
      </c>
      <c r="J126" s="968">
        <f>J150+J138</f>
        <v>1948059</v>
      </c>
      <c r="K126" s="968">
        <f>K150+K166+K138</f>
        <v>3083040</v>
      </c>
      <c r="L126" s="968">
        <f>L146</f>
        <v>500000</v>
      </c>
      <c r="M126" s="968">
        <f>SUM(F126:L126)</f>
        <v>31044010</v>
      </c>
      <c r="N126" s="968">
        <f t="shared" si="96"/>
        <v>0</v>
      </c>
      <c r="O126" s="968">
        <f t="shared" si="96"/>
        <v>0</v>
      </c>
      <c r="P126" s="968">
        <f t="shared" si="96"/>
        <v>0</v>
      </c>
      <c r="Q126" s="968">
        <f t="shared" si="96"/>
        <v>0</v>
      </c>
      <c r="R126" s="968">
        <f>SUM(M126:Q126)</f>
        <v>31044010</v>
      </c>
      <c r="S126" s="969"/>
    </row>
    <row r="127" spans="1:19" ht="15.75" customHeight="1" thickBot="1" x14ac:dyDescent="0.25">
      <c r="A127" s="266"/>
      <c r="B127" s="403"/>
      <c r="C127" s="1715"/>
      <c r="D127" s="967"/>
      <c r="E127" s="966" t="s">
        <v>303</v>
      </c>
      <c r="F127" s="968">
        <f>F139</f>
        <v>9729802</v>
      </c>
      <c r="G127" s="968">
        <f t="shared" ref="G127:Q127" si="97">G139</f>
        <v>2288845.46</v>
      </c>
      <c r="H127" s="968">
        <f t="shared" ref="H127:H128" si="98">H139+H151+H167</f>
        <v>15842903</v>
      </c>
      <c r="I127" s="968">
        <f t="shared" ref="I127:I128" si="99">J151</f>
        <v>0</v>
      </c>
      <c r="J127" s="968">
        <f t="shared" ref="J127:J128" si="100">J151+J139</f>
        <v>55566</v>
      </c>
      <c r="K127" s="968">
        <f t="shared" ref="K127:K128" si="101">K151+K167+K139</f>
        <v>5400351</v>
      </c>
      <c r="L127" s="968">
        <f>L147</f>
        <v>500000</v>
      </c>
      <c r="M127" s="968">
        <f t="shared" ref="M127:M128" si="102">SUM(F127:L127)</f>
        <v>33817467.460000001</v>
      </c>
      <c r="N127" s="968">
        <f t="shared" si="97"/>
        <v>1019729</v>
      </c>
      <c r="O127" s="968">
        <f t="shared" si="97"/>
        <v>0</v>
      </c>
      <c r="P127" s="968">
        <f t="shared" si="97"/>
        <v>0</v>
      </c>
      <c r="Q127" s="968">
        <f t="shared" si="97"/>
        <v>0</v>
      </c>
      <c r="R127" s="968">
        <f>SUM(M127:Q127)</f>
        <v>34837196.460000001</v>
      </c>
      <c r="S127" s="969"/>
    </row>
    <row r="128" spans="1:19" ht="15.75" customHeight="1" thickBot="1" x14ac:dyDescent="0.25">
      <c r="A128" s="334"/>
      <c r="B128" s="404"/>
      <c r="C128" s="1715"/>
      <c r="D128" s="967"/>
      <c r="E128" s="966" t="s">
        <v>304</v>
      </c>
      <c r="F128" s="968">
        <f>F140</f>
        <v>8803963</v>
      </c>
      <c r="G128" s="968">
        <f t="shared" ref="G128:Q128" si="103">G140</f>
        <v>2008952</v>
      </c>
      <c r="H128" s="968">
        <f t="shared" si="98"/>
        <v>15811617</v>
      </c>
      <c r="I128" s="968">
        <f t="shared" si="99"/>
        <v>0</v>
      </c>
      <c r="J128" s="968">
        <f t="shared" si="100"/>
        <v>55566</v>
      </c>
      <c r="K128" s="968">
        <f t="shared" si="101"/>
        <v>5175622</v>
      </c>
      <c r="L128" s="968">
        <f t="shared" si="103"/>
        <v>0</v>
      </c>
      <c r="M128" s="968">
        <f t="shared" si="102"/>
        <v>31855720</v>
      </c>
      <c r="N128" s="968">
        <f t="shared" si="103"/>
        <v>79390</v>
      </c>
      <c r="O128" s="968">
        <f t="shared" si="103"/>
        <v>0</v>
      </c>
      <c r="P128" s="968">
        <f t="shared" si="103"/>
        <v>0</v>
      </c>
      <c r="Q128" s="968">
        <f t="shared" si="103"/>
        <v>0</v>
      </c>
      <c r="R128" s="968">
        <f>SUM(M128:Q128)</f>
        <v>31935110</v>
      </c>
      <c r="S128" s="969"/>
    </row>
    <row r="129" spans="1:93" ht="15.75" customHeight="1" thickBot="1" x14ac:dyDescent="0.25">
      <c r="A129" s="334"/>
      <c r="B129" s="404"/>
      <c r="C129" s="1715"/>
      <c r="D129" s="967"/>
      <c r="E129" s="970" t="s">
        <v>66</v>
      </c>
      <c r="F129" s="968"/>
      <c r="G129" s="968"/>
      <c r="H129" s="968"/>
      <c r="I129" s="968"/>
      <c r="J129" s="968"/>
      <c r="K129" s="968"/>
      <c r="L129" s="968"/>
      <c r="M129" s="968"/>
      <c r="N129" s="968"/>
      <c r="O129" s="968"/>
      <c r="P129" s="968"/>
      <c r="Q129" s="968"/>
      <c r="R129" s="971"/>
      <c r="S129" s="969"/>
    </row>
    <row r="130" spans="1:93" ht="15.75" customHeight="1" thickBot="1" x14ac:dyDescent="0.25">
      <c r="A130" s="334"/>
      <c r="B130" s="404"/>
      <c r="C130" s="1715"/>
      <c r="D130" s="967"/>
      <c r="E130" s="966" t="s">
        <v>302</v>
      </c>
      <c r="F130" s="968"/>
      <c r="G130" s="968"/>
      <c r="H130" s="968"/>
      <c r="I130" s="968"/>
      <c r="J130" s="968"/>
      <c r="K130" s="968"/>
      <c r="L130" s="968"/>
      <c r="M130" s="968"/>
      <c r="N130" s="968"/>
      <c r="O130" s="968"/>
      <c r="P130" s="968"/>
      <c r="Q130" s="968"/>
      <c r="R130" s="971"/>
      <c r="S130" s="969"/>
    </row>
    <row r="131" spans="1:93" ht="15.75" customHeight="1" thickBot="1" x14ac:dyDescent="0.25">
      <c r="A131" s="334"/>
      <c r="B131" s="404"/>
      <c r="C131" s="1715"/>
      <c r="D131" s="967"/>
      <c r="E131" s="966" t="s">
        <v>303</v>
      </c>
      <c r="F131" s="968"/>
      <c r="G131" s="968"/>
      <c r="H131" s="968"/>
      <c r="I131" s="968"/>
      <c r="J131" s="968"/>
      <c r="K131" s="968"/>
      <c r="L131" s="968"/>
      <c r="M131" s="968"/>
      <c r="N131" s="968"/>
      <c r="O131" s="968"/>
      <c r="P131" s="968"/>
      <c r="Q131" s="968"/>
      <c r="R131" s="971"/>
      <c r="S131" s="969"/>
    </row>
    <row r="132" spans="1:93" ht="15.75" customHeight="1" thickBot="1" x14ac:dyDescent="0.25">
      <c r="A132" s="267"/>
      <c r="B132" s="405"/>
      <c r="C132" s="1715"/>
      <c r="D132" s="967"/>
      <c r="E132" s="966" t="s">
        <v>304</v>
      </c>
      <c r="F132" s="968"/>
      <c r="G132" s="968"/>
      <c r="H132" s="968"/>
      <c r="I132" s="968"/>
      <c r="J132" s="968"/>
      <c r="K132" s="968"/>
      <c r="L132" s="968"/>
      <c r="M132" s="968">
        <f t="shared" ref="M132:M143" si="104">SUM(F132:L132)</f>
        <v>0</v>
      </c>
      <c r="N132" s="968"/>
      <c r="O132" s="968"/>
      <c r="P132" s="968"/>
      <c r="Q132" s="968"/>
      <c r="R132" s="971"/>
      <c r="S132" s="969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  <c r="AV132" s="76"/>
      <c r="AW132" s="76"/>
      <c r="AX132" s="76"/>
      <c r="AY132" s="76"/>
      <c r="AZ132" s="76"/>
      <c r="BA132" s="76"/>
      <c r="BB132" s="76"/>
      <c r="BC132" s="76"/>
      <c r="BD132" s="76"/>
      <c r="BE132" s="76"/>
      <c r="BF132" s="76"/>
      <c r="BG132" s="76"/>
      <c r="BH132" s="76"/>
      <c r="BI132" s="76"/>
      <c r="BJ132" s="76"/>
      <c r="BK132" s="76"/>
      <c r="BL132" s="76"/>
      <c r="BM132" s="76"/>
      <c r="BN132" s="76"/>
      <c r="BO132" s="76"/>
      <c r="BP132" s="76"/>
      <c r="BQ132" s="76"/>
      <c r="BR132" s="76"/>
      <c r="BS132" s="76"/>
      <c r="BT132" s="76"/>
      <c r="BU132" s="76"/>
      <c r="BV132" s="76"/>
      <c r="BW132" s="76"/>
      <c r="BX132" s="76"/>
      <c r="BY132" s="76"/>
      <c r="BZ132" s="76"/>
      <c r="CA132" s="76"/>
      <c r="CB132" s="76"/>
      <c r="CC132" s="76"/>
      <c r="CD132" s="76"/>
      <c r="CE132" s="76"/>
      <c r="CF132" s="76"/>
      <c r="CG132" s="76"/>
      <c r="CH132" s="76"/>
      <c r="CI132" s="76"/>
      <c r="CJ132" s="76"/>
      <c r="CK132" s="76"/>
      <c r="CL132" s="76"/>
      <c r="CM132" s="76"/>
      <c r="CN132" s="76"/>
      <c r="CO132" s="76"/>
    </row>
    <row r="133" spans="1:93" s="133" customFormat="1" ht="15.75" customHeight="1" x14ac:dyDescent="0.15">
      <c r="A133" s="228"/>
      <c r="B133" s="268">
        <v>1</v>
      </c>
      <c r="C133" s="1689" t="s">
        <v>312</v>
      </c>
      <c r="D133" s="1135"/>
      <c r="E133" s="1136" t="s">
        <v>253</v>
      </c>
      <c r="F133" s="271"/>
      <c r="G133" s="271"/>
      <c r="H133" s="271"/>
      <c r="I133" s="271"/>
      <c r="J133" s="271"/>
      <c r="K133" s="271"/>
      <c r="L133" s="271"/>
      <c r="M133" s="271"/>
      <c r="N133" s="271"/>
      <c r="O133" s="271"/>
      <c r="P133" s="271"/>
      <c r="Q133" s="271"/>
      <c r="R133" s="222"/>
      <c r="S133" s="128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  <c r="AN133" s="76"/>
      <c r="AO133" s="76"/>
      <c r="AP133" s="76"/>
      <c r="AQ133" s="76"/>
      <c r="AR133" s="76"/>
      <c r="AS133" s="76"/>
      <c r="AT133" s="76"/>
      <c r="AU133" s="76"/>
      <c r="AV133" s="76"/>
      <c r="AW133" s="76"/>
      <c r="AX133" s="76"/>
      <c r="AY133" s="76"/>
      <c r="AZ133" s="76"/>
      <c r="BA133" s="76"/>
      <c r="BB133" s="76"/>
      <c r="BC133" s="76"/>
      <c r="BD133" s="76"/>
      <c r="BE133" s="76"/>
      <c r="BF133" s="76"/>
      <c r="BG133" s="76"/>
      <c r="BH133" s="76"/>
      <c r="BI133" s="76"/>
      <c r="BJ133" s="76"/>
      <c r="BK133" s="76"/>
      <c r="BL133" s="76"/>
      <c r="BM133" s="76"/>
      <c r="BN133" s="76"/>
      <c r="BO133" s="76"/>
      <c r="BP133" s="76"/>
      <c r="BQ133" s="76"/>
      <c r="BR133" s="76"/>
      <c r="BS133" s="76"/>
      <c r="BT133" s="76"/>
      <c r="BU133" s="76"/>
      <c r="BV133" s="76"/>
      <c r="BW133" s="76"/>
      <c r="BX133" s="76"/>
      <c r="BY133" s="76"/>
      <c r="BZ133" s="76"/>
      <c r="CA133" s="76"/>
      <c r="CB133" s="76"/>
      <c r="CC133" s="76"/>
      <c r="CD133" s="76"/>
      <c r="CE133" s="76"/>
      <c r="CF133" s="76"/>
      <c r="CG133" s="76"/>
      <c r="CH133" s="76"/>
      <c r="CI133" s="76"/>
      <c r="CJ133" s="76"/>
      <c r="CK133" s="76"/>
      <c r="CL133" s="76"/>
      <c r="CM133" s="76"/>
      <c r="CN133" s="76"/>
      <c r="CO133" s="76"/>
    </row>
    <row r="134" spans="1:93" s="76" customFormat="1" ht="15.75" customHeight="1" x14ac:dyDescent="0.2">
      <c r="A134" s="269"/>
      <c r="B134" s="270"/>
      <c r="C134" s="1689"/>
      <c r="D134" s="1135"/>
      <c r="E134" s="415" t="s">
        <v>302</v>
      </c>
      <c r="F134" s="271">
        <f t="shared" ref="F134:I136" si="105">F138+F141+F145+F150+F154+F158+F162+F166</f>
        <v>10559899</v>
      </c>
      <c r="G134" s="271">
        <f t="shared" si="105"/>
        <v>2479768</v>
      </c>
      <c r="H134" s="271">
        <f>H138+H141+H145+H150+H154+H158+H162+H166</f>
        <v>14669488</v>
      </c>
      <c r="I134" s="271">
        <f t="shared" si="105"/>
        <v>0</v>
      </c>
      <c r="J134" s="271"/>
      <c r="K134" s="271"/>
      <c r="L134" s="271"/>
      <c r="M134" s="271">
        <f>SUM(F134:L134)</f>
        <v>27709155</v>
      </c>
      <c r="N134" s="271">
        <f t="shared" ref="N134:Q136" si="106">N138+N141+N145+N150+N154+N158+N162+N166</f>
        <v>0</v>
      </c>
      <c r="O134" s="271">
        <f t="shared" si="106"/>
        <v>0</v>
      </c>
      <c r="P134" s="271">
        <f t="shared" si="106"/>
        <v>0</v>
      </c>
      <c r="Q134" s="271">
        <f t="shared" si="106"/>
        <v>0</v>
      </c>
      <c r="R134" s="222">
        <f>SUM(M134:Q134)</f>
        <v>27709155</v>
      </c>
      <c r="S134" s="128"/>
    </row>
    <row r="135" spans="1:93" s="76" customFormat="1" ht="15.75" customHeight="1" x14ac:dyDescent="0.2">
      <c r="A135" s="269"/>
      <c r="B135" s="270"/>
      <c r="C135" s="1689"/>
      <c r="D135" s="1135"/>
      <c r="E135" s="415" t="s">
        <v>303</v>
      </c>
      <c r="F135" s="271">
        <f t="shared" si="105"/>
        <v>9729802</v>
      </c>
      <c r="G135" s="271">
        <f t="shared" si="105"/>
        <v>2288845.46</v>
      </c>
      <c r="H135" s="271">
        <f>H139+H151</f>
        <v>15842903</v>
      </c>
      <c r="I135" s="271">
        <f t="shared" si="105"/>
        <v>0</v>
      </c>
      <c r="J135" s="271"/>
      <c r="K135" s="271"/>
      <c r="L135" s="271"/>
      <c r="M135" s="271">
        <f t="shared" ref="M135:M136" si="107">SUM(F135:L135)</f>
        <v>27861550.460000001</v>
      </c>
      <c r="N135" s="271">
        <f t="shared" si="106"/>
        <v>1019729</v>
      </c>
      <c r="O135" s="271">
        <f t="shared" si="106"/>
        <v>0</v>
      </c>
      <c r="P135" s="271">
        <f t="shared" si="106"/>
        <v>0</v>
      </c>
      <c r="Q135" s="271">
        <f t="shared" si="106"/>
        <v>0</v>
      </c>
      <c r="R135" s="222">
        <f t="shared" ref="R135:R140" si="108">SUM(M135:Q135)</f>
        <v>28881279.460000001</v>
      </c>
      <c r="S135" s="128"/>
    </row>
    <row r="136" spans="1:93" s="76" customFormat="1" ht="15.75" customHeight="1" thickBot="1" x14ac:dyDescent="0.25">
      <c r="A136" s="269"/>
      <c r="B136" s="270"/>
      <c r="C136" s="1689"/>
      <c r="D136" s="1135"/>
      <c r="E136" s="415" t="s">
        <v>304</v>
      </c>
      <c r="F136" s="271">
        <f t="shared" si="105"/>
        <v>8803963</v>
      </c>
      <c r="G136" s="271">
        <f t="shared" si="105"/>
        <v>2008952</v>
      </c>
      <c r="H136" s="271">
        <f t="shared" si="105"/>
        <v>15827998</v>
      </c>
      <c r="I136" s="271">
        <f t="shared" si="105"/>
        <v>0</v>
      </c>
      <c r="J136" s="271"/>
      <c r="K136" s="271"/>
      <c r="L136" s="271"/>
      <c r="M136" s="271">
        <f t="shared" si="107"/>
        <v>26640913</v>
      </c>
      <c r="N136" s="271">
        <f>N140+N143+N147+N152+N156+N160+N164+N168</f>
        <v>79390</v>
      </c>
      <c r="O136" s="271">
        <f t="shared" si="106"/>
        <v>0</v>
      </c>
      <c r="P136" s="271">
        <f t="shared" si="106"/>
        <v>0</v>
      </c>
      <c r="Q136" s="271">
        <f t="shared" si="106"/>
        <v>0</v>
      </c>
      <c r="R136" s="222">
        <f t="shared" si="108"/>
        <v>26720303</v>
      </c>
      <c r="S136" s="128"/>
    </row>
    <row r="137" spans="1:93" s="76" customFormat="1" ht="15.75" customHeight="1" thickBot="1" x14ac:dyDescent="0.25">
      <c r="A137" s="269"/>
      <c r="B137" s="270"/>
      <c r="C137" s="1689"/>
      <c r="D137" s="1137" t="s">
        <v>54</v>
      </c>
      <c r="E137" s="1138" t="s">
        <v>65</v>
      </c>
      <c r="F137" s="1139"/>
      <c r="G137" s="271"/>
      <c r="H137" s="271"/>
      <c r="I137" s="271"/>
      <c r="J137" s="271"/>
      <c r="K137" s="271"/>
      <c r="L137" s="271"/>
      <c r="M137" s="271"/>
      <c r="N137" s="220"/>
      <c r="O137" s="271"/>
      <c r="P137" s="271"/>
      <c r="Q137" s="271"/>
      <c r="R137" s="222"/>
      <c r="S137" s="128"/>
    </row>
    <row r="138" spans="1:93" s="76" customFormat="1" ht="15.75" customHeight="1" x14ac:dyDescent="0.2">
      <c r="A138" s="269"/>
      <c r="B138" s="270"/>
      <c r="C138" s="1689"/>
      <c r="D138" s="1135"/>
      <c r="E138" s="307" t="s">
        <v>302</v>
      </c>
      <c r="F138" s="271">
        <v>10559899</v>
      </c>
      <c r="G138" s="271">
        <v>2479768</v>
      </c>
      <c r="H138" s="271">
        <v>10277000</v>
      </c>
      <c r="I138" s="271"/>
      <c r="J138" s="271"/>
      <c r="K138" s="271"/>
      <c r="L138" s="271"/>
      <c r="M138" s="271">
        <f>SUM(F138:L138)</f>
        <v>23316667</v>
      </c>
      <c r="N138" s="220">
        <v>0</v>
      </c>
      <c r="O138" s="271"/>
      <c r="P138" s="271"/>
      <c r="Q138" s="271"/>
      <c r="R138" s="222">
        <f t="shared" si="108"/>
        <v>23316667</v>
      </c>
      <c r="S138" s="128">
        <v>2</v>
      </c>
    </row>
    <row r="139" spans="1:93" ht="15.75" customHeight="1" x14ac:dyDescent="0.2">
      <c r="A139" s="269"/>
      <c r="B139" s="270"/>
      <c r="C139" s="1689"/>
      <c r="D139" s="1140"/>
      <c r="E139" s="852" t="s">
        <v>303</v>
      </c>
      <c r="F139" s="1131">
        <f>10405890+149009+5000-1021019+234834-54011+12422-2857+657-151+35-8+2-1</f>
        <v>9729802</v>
      </c>
      <c r="G139" s="1131">
        <f>F139*23%+50991</f>
        <v>2288845.46</v>
      </c>
      <c r="H139" s="1131">
        <f>5571000+182000+24000+4500000+2000000-2000000-162489-400000+5411392+700000</f>
        <v>15825903</v>
      </c>
      <c r="I139" s="1131"/>
      <c r="J139" s="221">
        <v>55566</v>
      </c>
      <c r="K139" s="221">
        <v>257751</v>
      </c>
      <c r="L139" s="221"/>
      <c r="M139" s="271">
        <f t="shared" ref="M139:M140" si="109">SUM(F139:L139)</f>
        <v>28157867.460000001</v>
      </c>
      <c r="N139" s="231">
        <f>79491+940238</f>
        <v>1019729</v>
      </c>
      <c r="O139" s="221"/>
      <c r="P139" s="221"/>
      <c r="Q139" s="221"/>
      <c r="R139" s="222">
        <f t="shared" si="108"/>
        <v>29177596.460000001</v>
      </c>
      <c r="S139" s="128">
        <v>2</v>
      </c>
    </row>
    <row r="140" spans="1:93" ht="15.75" customHeight="1" x14ac:dyDescent="0.2">
      <c r="A140" s="269"/>
      <c r="B140" s="270"/>
      <c r="C140" s="1689"/>
      <c r="D140" s="1132"/>
      <c r="E140" s="307" t="s">
        <v>304</v>
      </c>
      <c r="F140" s="1131">
        <v>8803963</v>
      </c>
      <c r="G140" s="1131">
        <v>2008952</v>
      </c>
      <c r="H140" s="1131">
        <v>15795236</v>
      </c>
      <c r="I140" s="1131"/>
      <c r="J140" s="221">
        <v>55566</v>
      </c>
      <c r="K140" s="221">
        <v>257751</v>
      </c>
      <c r="L140" s="221"/>
      <c r="M140" s="271">
        <f t="shared" si="109"/>
        <v>26921468</v>
      </c>
      <c r="N140" s="231">
        <f>'6 beruházások'!F15-14751</f>
        <v>79390</v>
      </c>
      <c r="O140" s="221"/>
      <c r="P140" s="221"/>
      <c r="Q140" s="221"/>
      <c r="R140" s="222">
        <f t="shared" si="108"/>
        <v>27000858</v>
      </c>
      <c r="S140" s="128">
        <v>1</v>
      </c>
    </row>
    <row r="141" spans="1:93" ht="15.75" customHeight="1" x14ac:dyDescent="0.2">
      <c r="A141" s="269"/>
      <c r="B141" s="270"/>
      <c r="C141" s="1689"/>
      <c r="D141" s="1141" t="s">
        <v>55</v>
      </c>
      <c r="E141" s="487" t="s">
        <v>66</v>
      </c>
      <c r="F141" s="1131"/>
      <c r="G141" s="1131"/>
      <c r="H141" s="1131"/>
      <c r="I141" s="1131"/>
      <c r="J141" s="221"/>
      <c r="K141" s="221"/>
      <c r="L141" s="221"/>
      <c r="M141" s="271"/>
      <c r="N141" s="231"/>
      <c r="O141" s="221"/>
      <c r="P141" s="221"/>
      <c r="Q141" s="221"/>
      <c r="R141" s="222"/>
      <c r="S141" s="128"/>
    </row>
    <row r="142" spans="1:93" ht="15.75" customHeight="1" x14ac:dyDescent="0.2">
      <c r="A142" s="269"/>
      <c r="B142" s="270"/>
      <c r="C142" s="1689"/>
      <c r="D142" s="1132"/>
      <c r="E142" s="852" t="s">
        <v>302</v>
      </c>
      <c r="F142" s="1131"/>
      <c r="G142" s="1131"/>
      <c r="H142" s="1131"/>
      <c r="I142" s="1131"/>
      <c r="J142" s="221"/>
      <c r="K142" s="221"/>
      <c r="L142" s="221"/>
      <c r="M142" s="271"/>
      <c r="N142" s="231"/>
      <c r="O142" s="221"/>
      <c r="P142" s="221"/>
      <c r="Q142" s="221"/>
      <c r="R142" s="222"/>
      <c r="S142" s="128"/>
    </row>
    <row r="143" spans="1:93" ht="15.75" customHeight="1" x14ac:dyDescent="0.2">
      <c r="A143" s="228"/>
      <c r="B143" s="228"/>
      <c r="C143" s="1689"/>
      <c r="D143" s="1140"/>
      <c r="E143" s="307" t="s">
        <v>303</v>
      </c>
      <c r="F143" s="363">
        <v>0</v>
      </c>
      <c r="G143" s="363">
        <v>0</v>
      </c>
      <c r="H143" s="363"/>
      <c r="I143" s="363"/>
      <c r="J143" s="231"/>
      <c r="K143" s="231"/>
      <c r="L143" s="231"/>
      <c r="M143" s="220">
        <f t="shared" si="104"/>
        <v>0</v>
      </c>
      <c r="N143" s="232"/>
      <c r="O143" s="231"/>
      <c r="P143" s="231"/>
      <c r="Q143" s="231"/>
      <c r="R143" s="227">
        <f t="shared" ref="R143" si="110">SUM(M143:Q143)</f>
        <v>0</v>
      </c>
      <c r="S143" s="106">
        <v>0</v>
      </c>
    </row>
    <row r="144" spans="1:93" ht="15.75" customHeight="1" x14ac:dyDescent="0.2">
      <c r="A144" s="228"/>
      <c r="B144" s="228"/>
      <c r="C144" s="1690"/>
      <c r="D144" s="1141"/>
      <c r="E144" s="852" t="s">
        <v>304</v>
      </c>
      <c r="F144" s="363"/>
      <c r="G144" s="363"/>
      <c r="H144" s="363"/>
      <c r="I144" s="363"/>
      <c r="J144" s="231"/>
      <c r="K144" s="231"/>
      <c r="L144" s="231"/>
      <c r="M144" s="220"/>
      <c r="N144" s="232"/>
      <c r="O144" s="231"/>
      <c r="P144" s="231"/>
      <c r="Q144" s="231"/>
      <c r="R144" s="227"/>
      <c r="S144" s="106"/>
    </row>
    <row r="145" spans="1:19" ht="15.75" customHeight="1" x14ac:dyDescent="0.2">
      <c r="A145" s="228"/>
      <c r="B145" s="229">
        <v>3</v>
      </c>
      <c r="C145" s="1685" t="s">
        <v>313</v>
      </c>
      <c r="D145" s="1133" t="s">
        <v>54</v>
      </c>
      <c r="E145" s="1134" t="s">
        <v>225</v>
      </c>
      <c r="F145" s="231">
        <v>0</v>
      </c>
      <c r="G145" s="231"/>
      <c r="H145" s="232"/>
      <c r="I145" s="232"/>
      <c r="J145" s="231"/>
      <c r="K145" s="231"/>
      <c r="L145" s="231"/>
      <c r="M145" s="220">
        <f>SUM(F145:L145)</f>
        <v>0</v>
      </c>
      <c r="N145" s="231"/>
      <c r="O145" s="231"/>
      <c r="P145" s="231"/>
      <c r="Q145" s="231"/>
      <c r="R145" s="227">
        <f>SUM(M145:Q145)</f>
        <v>0</v>
      </c>
      <c r="S145" s="106"/>
    </row>
    <row r="146" spans="1:19" ht="15.75" customHeight="1" x14ac:dyDescent="0.2">
      <c r="A146" s="228"/>
      <c r="B146" s="229"/>
      <c r="C146" s="1686"/>
      <c r="D146" s="230"/>
      <c r="E146" s="415" t="s">
        <v>302</v>
      </c>
      <c r="F146" s="225"/>
      <c r="G146" s="225"/>
      <c r="H146" s="226"/>
      <c r="I146" s="226"/>
      <c r="J146" s="225"/>
      <c r="K146" s="225"/>
      <c r="L146" s="225">
        <v>500000</v>
      </c>
      <c r="M146" s="220"/>
      <c r="N146" s="231"/>
      <c r="O146" s="225"/>
      <c r="P146" s="225"/>
      <c r="Q146" s="225"/>
      <c r="R146" s="227"/>
      <c r="S146" s="107"/>
    </row>
    <row r="147" spans="1:19" ht="15.75" customHeight="1" x14ac:dyDescent="0.2">
      <c r="A147" s="228"/>
      <c r="B147" s="229"/>
      <c r="C147" s="1686"/>
      <c r="D147" s="230"/>
      <c r="E147" s="308" t="s">
        <v>303</v>
      </c>
      <c r="F147" s="225"/>
      <c r="G147" s="225"/>
      <c r="H147" s="226"/>
      <c r="I147" s="226"/>
      <c r="J147" s="225"/>
      <c r="K147" s="225"/>
      <c r="L147" s="225">
        <v>500000</v>
      </c>
      <c r="M147" s="220"/>
      <c r="N147" s="225"/>
      <c r="O147" s="225"/>
      <c r="P147" s="225"/>
      <c r="Q147" s="225"/>
      <c r="R147" s="227"/>
      <c r="S147" s="107"/>
    </row>
    <row r="148" spans="1:19" ht="15.75" customHeight="1" x14ac:dyDescent="0.2">
      <c r="A148" s="228"/>
      <c r="B148" s="229"/>
      <c r="C148" s="1687"/>
      <c r="D148" s="230"/>
      <c r="E148" s="307" t="s">
        <v>304</v>
      </c>
      <c r="F148" s="225"/>
      <c r="G148" s="225"/>
      <c r="H148" s="226"/>
      <c r="I148" s="226"/>
      <c r="J148" s="225"/>
      <c r="K148" s="225"/>
      <c r="L148" s="225">
        <v>0</v>
      </c>
      <c r="M148" s="220"/>
      <c r="N148" s="225"/>
      <c r="O148" s="225"/>
      <c r="P148" s="225"/>
      <c r="Q148" s="225"/>
      <c r="R148" s="227"/>
      <c r="S148" s="107"/>
    </row>
    <row r="149" spans="1:19" ht="15.75" customHeight="1" x14ac:dyDescent="0.2">
      <c r="A149" s="228"/>
      <c r="B149" s="229">
        <v>4</v>
      </c>
      <c r="C149" s="1685" t="s">
        <v>314</v>
      </c>
      <c r="D149" s="230" t="s">
        <v>54</v>
      </c>
      <c r="E149" s="1124" t="s">
        <v>220</v>
      </c>
      <c r="F149" s="225"/>
      <c r="G149" s="225"/>
      <c r="H149" s="225"/>
      <c r="I149" s="225"/>
      <c r="J149" s="225"/>
      <c r="K149" s="225"/>
      <c r="L149" s="225"/>
      <c r="M149" s="220">
        <f t="shared" ref="M149:M160" si="111">SUM(F149:L149)</f>
        <v>0</v>
      </c>
      <c r="N149" s="225"/>
      <c r="O149" s="225"/>
      <c r="P149" s="225"/>
      <c r="Q149" s="225"/>
      <c r="R149" s="227">
        <f t="shared" ref="R149:R160" si="112">SUM(M149:Q149)</f>
        <v>0</v>
      </c>
      <c r="S149" s="107"/>
    </row>
    <row r="150" spans="1:19" ht="15.75" customHeight="1" x14ac:dyDescent="0.2">
      <c r="A150" s="228"/>
      <c r="B150" s="229"/>
      <c r="C150" s="1686"/>
      <c r="D150" s="230"/>
      <c r="E150" s="852" t="s">
        <v>302</v>
      </c>
      <c r="F150" s="225">
        <f>F154+F158+F162</f>
        <v>0</v>
      </c>
      <c r="G150" s="225">
        <f t="shared" ref="G150:Q150" si="113">G154+G158+G162</f>
        <v>0</v>
      </c>
      <c r="H150" s="225">
        <f t="shared" si="113"/>
        <v>2196244</v>
      </c>
      <c r="I150" s="225">
        <f t="shared" si="113"/>
        <v>0</v>
      </c>
      <c r="J150" s="225">
        <f>J154+J158+J162</f>
        <v>1948059</v>
      </c>
      <c r="K150" s="225">
        <f>K154+K158+K162</f>
        <v>0</v>
      </c>
      <c r="L150" s="225">
        <f>L154+L158+L162</f>
        <v>0</v>
      </c>
      <c r="M150" s="225">
        <f>SUM(F150:L150)</f>
        <v>4144303</v>
      </c>
      <c r="N150" s="225">
        <f t="shared" si="113"/>
        <v>0</v>
      </c>
      <c r="O150" s="225">
        <f t="shared" si="113"/>
        <v>0</v>
      </c>
      <c r="P150" s="225">
        <f t="shared" si="113"/>
        <v>0</v>
      </c>
      <c r="Q150" s="225">
        <f t="shared" si="113"/>
        <v>0</v>
      </c>
      <c r="R150" s="227">
        <f>SUM(L150:Q150)</f>
        <v>4144303</v>
      </c>
      <c r="S150" s="107"/>
    </row>
    <row r="151" spans="1:19" ht="15.75" customHeight="1" x14ac:dyDescent="0.2">
      <c r="A151" s="228"/>
      <c r="B151" s="229"/>
      <c r="C151" s="1686"/>
      <c r="D151" s="230"/>
      <c r="E151" s="307" t="s">
        <v>303</v>
      </c>
      <c r="F151" s="225">
        <f t="shared" ref="F151:Q152" si="114">F155+F159+F163</f>
        <v>0</v>
      </c>
      <c r="G151" s="225">
        <f t="shared" si="114"/>
        <v>0</v>
      </c>
      <c r="H151" s="225">
        <f t="shared" si="114"/>
        <v>17000</v>
      </c>
      <c r="I151" s="225">
        <f t="shared" si="114"/>
        <v>0</v>
      </c>
      <c r="J151" s="225">
        <f t="shared" si="114"/>
        <v>0</v>
      </c>
      <c r="K151" s="225">
        <f>K155+K159+K163</f>
        <v>1858560</v>
      </c>
      <c r="L151" s="225"/>
      <c r="M151" s="225">
        <f t="shared" ref="M151:M152" si="115">SUM(F151:L151)</f>
        <v>1875560</v>
      </c>
      <c r="N151" s="225">
        <f t="shared" si="114"/>
        <v>0</v>
      </c>
      <c r="O151" s="225">
        <f t="shared" si="114"/>
        <v>0</v>
      </c>
      <c r="P151" s="225">
        <f t="shared" si="114"/>
        <v>0</v>
      </c>
      <c r="Q151" s="225">
        <f t="shared" si="114"/>
        <v>0</v>
      </c>
      <c r="R151" s="227">
        <f t="shared" ref="R151:R152" si="116">SUM(L151:Q151)</f>
        <v>1875560</v>
      </c>
      <c r="S151" s="107"/>
    </row>
    <row r="152" spans="1:19" ht="15.75" customHeight="1" x14ac:dyDescent="0.2">
      <c r="A152" s="228"/>
      <c r="B152" s="229"/>
      <c r="C152" s="1687"/>
      <c r="D152" s="230"/>
      <c r="E152" s="852" t="s">
        <v>304</v>
      </c>
      <c r="F152" s="225">
        <f t="shared" si="114"/>
        <v>0</v>
      </c>
      <c r="G152" s="225">
        <f t="shared" si="114"/>
        <v>0</v>
      </c>
      <c r="H152" s="225">
        <f t="shared" si="114"/>
        <v>16381</v>
      </c>
      <c r="I152" s="225">
        <f t="shared" si="114"/>
        <v>0</v>
      </c>
      <c r="J152" s="225">
        <f t="shared" si="114"/>
        <v>0</v>
      </c>
      <c r="K152" s="225">
        <f>K156+K160+K164</f>
        <v>1714598</v>
      </c>
      <c r="L152" s="225"/>
      <c r="M152" s="225">
        <f t="shared" si="115"/>
        <v>1730979</v>
      </c>
      <c r="N152" s="225">
        <f t="shared" si="114"/>
        <v>0</v>
      </c>
      <c r="O152" s="225">
        <f t="shared" si="114"/>
        <v>0</v>
      </c>
      <c r="P152" s="225">
        <f t="shared" si="114"/>
        <v>0</v>
      </c>
      <c r="Q152" s="225">
        <f t="shared" si="114"/>
        <v>0</v>
      </c>
      <c r="R152" s="227">
        <f t="shared" si="116"/>
        <v>1730979</v>
      </c>
      <c r="S152" s="107"/>
    </row>
    <row r="153" spans="1:19" ht="15.75" customHeight="1" x14ac:dyDescent="0.2">
      <c r="A153" s="228"/>
      <c r="B153" s="229"/>
      <c r="C153" s="1685" t="s">
        <v>319</v>
      </c>
      <c r="D153" s="230"/>
      <c r="E153" s="1129" t="s">
        <v>310</v>
      </c>
      <c r="F153" s="225"/>
      <c r="G153" s="225"/>
      <c r="H153" s="226"/>
      <c r="I153" s="232"/>
      <c r="J153" s="1125"/>
      <c r="K153" s="985"/>
      <c r="L153" s="1126"/>
      <c r="M153" s="1127">
        <f t="shared" si="111"/>
        <v>0</v>
      </c>
      <c r="N153" s="225"/>
      <c r="O153" s="225"/>
      <c r="P153" s="225"/>
      <c r="Q153" s="225"/>
      <c r="R153" s="227">
        <f t="shared" si="112"/>
        <v>0</v>
      </c>
      <c r="S153" s="107"/>
    </row>
    <row r="154" spans="1:19" ht="15.75" customHeight="1" x14ac:dyDescent="0.2">
      <c r="A154" s="228"/>
      <c r="B154" s="229"/>
      <c r="C154" s="1686"/>
      <c r="D154" s="230"/>
      <c r="E154" s="852" t="s">
        <v>302</v>
      </c>
      <c r="F154" s="225"/>
      <c r="G154" s="225"/>
      <c r="H154" s="226"/>
      <c r="I154" s="226"/>
      <c r="J154" s="231">
        <v>450000</v>
      </c>
      <c r="K154" s="231"/>
      <c r="L154" s="231"/>
      <c r="M154" s="220"/>
      <c r="N154" s="225"/>
      <c r="O154" s="225"/>
      <c r="P154" s="225"/>
      <c r="Q154" s="225"/>
      <c r="R154" s="227"/>
      <c r="S154" s="107"/>
    </row>
    <row r="155" spans="1:19" ht="15.75" customHeight="1" x14ac:dyDescent="0.2">
      <c r="A155" s="228"/>
      <c r="B155" s="229"/>
      <c r="C155" s="1686"/>
      <c r="D155" s="230"/>
      <c r="E155" s="307" t="s">
        <v>303</v>
      </c>
      <c r="F155" s="225"/>
      <c r="G155" s="225"/>
      <c r="H155" s="226"/>
      <c r="I155" s="226"/>
      <c r="J155" s="231"/>
      <c r="K155" s="457">
        <f>325139+35566+137581-43317</f>
        <v>454969</v>
      </c>
      <c r="L155" s="225"/>
      <c r="M155" s="220"/>
      <c r="N155" s="225"/>
      <c r="O155" s="225"/>
      <c r="P155" s="225"/>
      <c r="Q155" s="225"/>
      <c r="R155" s="227"/>
      <c r="S155" s="107"/>
    </row>
    <row r="156" spans="1:19" ht="15.75" customHeight="1" x14ac:dyDescent="0.2">
      <c r="A156" s="228"/>
      <c r="B156" s="229"/>
      <c r="C156" s="1687"/>
      <c r="D156" s="230"/>
      <c r="E156" s="852" t="s">
        <v>304</v>
      </c>
      <c r="F156" s="225"/>
      <c r="G156" s="225"/>
      <c r="H156" s="226"/>
      <c r="I156" s="226"/>
      <c r="J156" s="231"/>
      <c r="K156" s="225">
        <f>325139</f>
        <v>325139</v>
      </c>
      <c r="L156" s="225"/>
      <c r="M156" s="220"/>
      <c r="N156" s="225"/>
      <c r="O156" s="225"/>
      <c r="P156" s="225"/>
      <c r="Q156" s="225"/>
      <c r="R156" s="227"/>
      <c r="S156" s="107"/>
    </row>
    <row r="157" spans="1:19" ht="15.75" customHeight="1" x14ac:dyDescent="0.2">
      <c r="A157" s="228"/>
      <c r="B157" s="229"/>
      <c r="C157" s="1685" t="s">
        <v>320</v>
      </c>
      <c r="D157" s="230"/>
      <c r="E157" s="1128" t="s">
        <v>249</v>
      </c>
      <c r="F157" s="225"/>
      <c r="G157" s="225"/>
      <c r="H157" s="226"/>
      <c r="I157" s="226"/>
      <c r="J157" s="511"/>
      <c r="K157" s="225"/>
      <c r="L157" s="225"/>
      <c r="M157" s="220"/>
      <c r="N157" s="225"/>
      <c r="O157" s="225"/>
      <c r="P157" s="225"/>
      <c r="Q157" s="225"/>
      <c r="R157" s="227"/>
      <c r="S157" s="107"/>
    </row>
    <row r="158" spans="1:19" ht="15.75" customHeight="1" x14ac:dyDescent="0.2">
      <c r="A158" s="228"/>
      <c r="B158" s="229"/>
      <c r="C158" s="1686"/>
      <c r="D158" s="230"/>
      <c r="E158" s="852" t="s">
        <v>302</v>
      </c>
      <c r="F158" s="225"/>
      <c r="G158" s="225"/>
      <c r="H158" s="226">
        <v>0</v>
      </c>
      <c r="I158" s="226"/>
      <c r="J158" s="511">
        <v>1344468</v>
      </c>
      <c r="K158" s="225">
        <v>0</v>
      </c>
      <c r="L158" s="225"/>
      <c r="M158" s="220">
        <f t="shared" si="111"/>
        <v>1344468</v>
      </c>
      <c r="N158" s="225"/>
      <c r="O158" s="225"/>
      <c r="P158" s="225"/>
      <c r="Q158" s="225"/>
      <c r="R158" s="227">
        <f t="shared" si="112"/>
        <v>1344468</v>
      </c>
      <c r="S158" s="107"/>
    </row>
    <row r="159" spans="1:19" ht="15.75" customHeight="1" x14ac:dyDescent="0.2">
      <c r="A159" s="228"/>
      <c r="B159" s="229"/>
      <c r="C159" s="1686"/>
      <c r="D159" s="230"/>
      <c r="E159" s="852" t="s">
        <v>303</v>
      </c>
      <c r="F159" s="225"/>
      <c r="G159" s="225"/>
      <c r="H159" s="232">
        <v>17000</v>
      </c>
      <c r="I159" s="232"/>
      <c r="J159" s="511"/>
      <c r="K159" s="231">
        <f>1500000-250000</f>
        <v>1250000</v>
      </c>
      <c r="L159" s="231"/>
      <c r="M159" s="220">
        <f t="shared" si="111"/>
        <v>1267000</v>
      </c>
      <c r="N159" s="225"/>
      <c r="O159" s="225"/>
      <c r="P159" s="225"/>
      <c r="Q159" s="225"/>
      <c r="R159" s="227">
        <f t="shared" si="112"/>
        <v>1267000</v>
      </c>
      <c r="S159" s="107"/>
    </row>
    <row r="160" spans="1:19" ht="15.75" customHeight="1" x14ac:dyDescent="0.2">
      <c r="A160" s="228"/>
      <c r="B160" s="229"/>
      <c r="C160" s="1687"/>
      <c r="D160" s="230"/>
      <c r="E160" s="852" t="s">
        <v>304</v>
      </c>
      <c r="F160" s="225"/>
      <c r="G160" s="225"/>
      <c r="H160" s="232">
        <v>16381</v>
      </c>
      <c r="I160" s="232"/>
      <c r="J160" s="511"/>
      <c r="K160" s="231">
        <v>1235868</v>
      </c>
      <c r="L160" s="231"/>
      <c r="M160" s="220">
        <f t="shared" si="111"/>
        <v>1252249</v>
      </c>
      <c r="N160" s="225"/>
      <c r="O160" s="225"/>
      <c r="P160" s="225"/>
      <c r="Q160" s="225"/>
      <c r="R160" s="227">
        <f t="shared" si="112"/>
        <v>1252249</v>
      </c>
      <c r="S160" s="107"/>
    </row>
    <row r="161" spans="1:19" ht="15.75" customHeight="1" x14ac:dyDescent="0.2">
      <c r="A161" s="228"/>
      <c r="B161" s="229"/>
      <c r="C161" s="1685" t="s">
        <v>321</v>
      </c>
      <c r="D161" s="230"/>
      <c r="E161" s="1129" t="s">
        <v>250</v>
      </c>
      <c r="F161" s="225"/>
      <c r="G161" s="225"/>
      <c r="H161" s="511"/>
      <c r="I161" s="511"/>
      <c r="J161" s="511"/>
      <c r="K161" s="511"/>
      <c r="L161" s="511"/>
      <c r="M161" s="1130"/>
      <c r="N161" s="225"/>
      <c r="O161" s="225"/>
      <c r="P161" s="225"/>
      <c r="Q161" s="225"/>
      <c r="R161" s="227"/>
      <c r="S161" s="107"/>
    </row>
    <row r="162" spans="1:19" ht="15.75" customHeight="1" x14ac:dyDescent="0.2">
      <c r="A162" s="228"/>
      <c r="B162" s="229"/>
      <c r="C162" s="1686"/>
      <c r="D162" s="230"/>
      <c r="E162" s="852" t="s">
        <v>302</v>
      </c>
      <c r="F162" s="225"/>
      <c r="G162" s="225"/>
      <c r="H162" s="226">
        <v>2196244</v>
      </c>
      <c r="I162" s="226"/>
      <c r="J162" s="225">
        <v>153591</v>
      </c>
      <c r="K162" s="989">
        <v>0</v>
      </c>
      <c r="L162" s="225"/>
      <c r="M162" s="220">
        <f>SUM(F162:L162)</f>
        <v>2349835</v>
      </c>
      <c r="N162" s="225"/>
      <c r="O162" s="225"/>
      <c r="P162" s="225"/>
      <c r="Q162" s="225"/>
      <c r="R162" s="227">
        <f>SUM(M162:Q162)</f>
        <v>2349835</v>
      </c>
      <c r="S162" s="107"/>
    </row>
    <row r="163" spans="1:19" ht="15.75" customHeight="1" x14ac:dyDescent="0.2">
      <c r="A163" s="228"/>
      <c r="B163" s="229"/>
      <c r="C163" s="1686"/>
      <c r="D163" s="230"/>
      <c r="E163" s="852" t="s">
        <v>303</v>
      </c>
      <c r="F163" s="225"/>
      <c r="G163" s="225"/>
      <c r="H163" s="226">
        <v>0</v>
      </c>
      <c r="I163" s="226"/>
      <c r="J163" s="225"/>
      <c r="K163" s="225">
        <v>153591</v>
      </c>
      <c r="L163" s="225"/>
      <c r="M163" s="220">
        <f>SUM(F163:L163)</f>
        <v>153591</v>
      </c>
      <c r="N163" s="225"/>
      <c r="O163" s="225"/>
      <c r="P163" s="225"/>
      <c r="Q163" s="225"/>
      <c r="R163" s="227">
        <f t="shared" ref="R163:R168" si="117">SUM(M163:Q163)</f>
        <v>153591</v>
      </c>
      <c r="S163" s="107"/>
    </row>
    <row r="164" spans="1:19" ht="15.75" customHeight="1" x14ac:dyDescent="0.2">
      <c r="A164" s="228"/>
      <c r="B164" s="229"/>
      <c r="C164" s="1687"/>
      <c r="D164" s="230"/>
      <c r="E164" s="852" t="s">
        <v>304</v>
      </c>
      <c r="F164" s="225"/>
      <c r="G164" s="225"/>
      <c r="H164" s="226">
        <v>0</v>
      </c>
      <c r="I164" s="226"/>
      <c r="J164" s="225"/>
      <c r="K164" s="225">
        <v>153591</v>
      </c>
      <c r="L164" s="225"/>
      <c r="M164" s="220">
        <f>SUM(F164:L164)</f>
        <v>153591</v>
      </c>
      <c r="N164" s="225"/>
      <c r="O164" s="225"/>
      <c r="P164" s="225"/>
      <c r="Q164" s="225"/>
      <c r="R164" s="227">
        <f t="shared" si="117"/>
        <v>153591</v>
      </c>
      <c r="S164" s="107"/>
    </row>
    <row r="165" spans="1:19" ht="15.75" customHeight="1" x14ac:dyDescent="0.2">
      <c r="A165" s="228"/>
      <c r="B165" s="229"/>
      <c r="C165" s="1685" t="s">
        <v>322</v>
      </c>
      <c r="D165" s="230" t="s">
        <v>54</v>
      </c>
      <c r="E165" s="233" t="s">
        <v>266</v>
      </c>
      <c r="F165" s="225"/>
      <c r="G165" s="225"/>
      <c r="H165" s="226"/>
      <c r="I165" s="226"/>
      <c r="J165" s="225"/>
      <c r="K165" s="225"/>
      <c r="L165" s="225"/>
      <c r="M165" s="220"/>
      <c r="N165" s="225"/>
      <c r="O165" s="225"/>
      <c r="P165" s="225"/>
      <c r="Q165" s="225"/>
      <c r="R165" s="227"/>
      <c r="S165" s="107"/>
    </row>
    <row r="166" spans="1:19" ht="15.75" customHeight="1" x14ac:dyDescent="0.2">
      <c r="A166" s="228"/>
      <c r="B166" s="229"/>
      <c r="C166" s="1686"/>
      <c r="D166" s="230"/>
      <c r="E166" s="852" t="s">
        <v>302</v>
      </c>
      <c r="F166" s="225"/>
      <c r="G166" s="225"/>
      <c r="H166" s="226"/>
      <c r="I166" s="226"/>
      <c r="J166" s="225"/>
      <c r="K166" s="225">
        <v>3083040</v>
      </c>
      <c r="L166" s="225"/>
      <c r="M166" s="220">
        <f t="shared" ref="M166:M208" si="118">SUM(F166:L166)</f>
        <v>3083040</v>
      </c>
      <c r="N166" s="225"/>
      <c r="O166" s="225"/>
      <c r="P166" s="225"/>
      <c r="Q166" s="225"/>
      <c r="R166" s="227">
        <f t="shared" si="117"/>
        <v>3083040</v>
      </c>
      <c r="S166" s="107"/>
    </row>
    <row r="167" spans="1:19" ht="15.75" customHeight="1" x14ac:dyDescent="0.2">
      <c r="A167" s="228"/>
      <c r="B167" s="229"/>
      <c r="C167" s="1686"/>
      <c r="D167" s="230"/>
      <c r="E167" s="852" t="s">
        <v>303</v>
      </c>
      <c r="F167" s="225"/>
      <c r="G167" s="225"/>
      <c r="H167" s="226"/>
      <c r="I167" s="226"/>
      <c r="J167" s="225"/>
      <c r="K167" s="225">
        <v>3284040</v>
      </c>
      <c r="L167" s="225"/>
      <c r="M167" s="220">
        <f t="shared" si="118"/>
        <v>3284040</v>
      </c>
      <c r="N167" s="225"/>
      <c r="O167" s="225"/>
      <c r="P167" s="225"/>
      <c r="Q167" s="225"/>
      <c r="R167" s="227">
        <f t="shared" si="117"/>
        <v>3284040</v>
      </c>
      <c r="S167" s="107"/>
    </row>
    <row r="168" spans="1:19" ht="15.75" customHeight="1" x14ac:dyDescent="0.2">
      <c r="A168" s="228"/>
      <c r="B168" s="229"/>
      <c r="C168" s="1687"/>
      <c r="D168" s="230"/>
      <c r="E168" s="852" t="s">
        <v>304</v>
      </c>
      <c r="F168" s="225"/>
      <c r="G168" s="225"/>
      <c r="H168" s="226"/>
      <c r="I168" s="226"/>
      <c r="J168" s="225"/>
      <c r="K168" s="225">
        <v>3203273</v>
      </c>
      <c r="L168" s="225"/>
      <c r="M168" s="220">
        <f t="shared" si="118"/>
        <v>3203273</v>
      </c>
      <c r="N168" s="225"/>
      <c r="O168" s="225"/>
      <c r="P168" s="225"/>
      <c r="Q168" s="225"/>
      <c r="R168" s="227">
        <f t="shared" si="117"/>
        <v>3203273</v>
      </c>
      <c r="S168" s="107"/>
    </row>
    <row r="169" spans="1:19" ht="30" customHeight="1" x14ac:dyDescent="0.2">
      <c r="A169" s="228"/>
      <c r="B169" s="229"/>
      <c r="C169" s="1685" t="s">
        <v>315</v>
      </c>
      <c r="D169" s="230" t="s">
        <v>54</v>
      </c>
      <c r="E169" s="472" t="s">
        <v>298</v>
      </c>
      <c r="F169" s="225"/>
      <c r="G169" s="225"/>
      <c r="H169" s="226"/>
      <c r="I169" s="226"/>
      <c r="J169" s="225"/>
      <c r="K169" s="225"/>
      <c r="L169" s="225"/>
      <c r="M169" s="220">
        <f t="shared" si="118"/>
        <v>0</v>
      </c>
      <c r="N169" s="225"/>
      <c r="O169" s="225"/>
      <c r="P169" s="225"/>
      <c r="Q169" s="225"/>
      <c r="R169" s="227"/>
      <c r="S169" s="107"/>
    </row>
    <row r="170" spans="1:19" ht="15.75" customHeight="1" x14ac:dyDescent="0.2">
      <c r="A170" s="228"/>
      <c r="B170" s="229"/>
      <c r="C170" s="1686"/>
      <c r="D170" s="230"/>
      <c r="E170" s="308" t="s">
        <v>302</v>
      </c>
      <c r="F170" s="225">
        <v>4264241</v>
      </c>
      <c r="G170" s="225">
        <v>904240</v>
      </c>
      <c r="H170" s="226">
        <v>3559813</v>
      </c>
      <c r="I170" s="226"/>
      <c r="J170" s="225"/>
      <c r="K170" s="225"/>
      <c r="L170" s="225"/>
      <c r="M170" s="220">
        <f>SUM(F170:L170)</f>
        <v>8728294</v>
      </c>
      <c r="N170" s="225">
        <v>0</v>
      </c>
      <c r="O170" s="225"/>
      <c r="P170" s="225"/>
      <c r="Q170" s="225"/>
      <c r="R170" s="227">
        <f>SUM(M170:Q170)</f>
        <v>8728294</v>
      </c>
      <c r="S170" s="107">
        <v>2</v>
      </c>
    </row>
    <row r="171" spans="1:19" ht="15.75" customHeight="1" x14ac:dyDescent="0.2">
      <c r="A171" s="228">
        <v>2</v>
      </c>
      <c r="B171" s="229"/>
      <c r="C171" s="1686"/>
      <c r="D171" s="230"/>
      <c r="E171" s="308" t="s">
        <v>303</v>
      </c>
      <c r="F171" s="225">
        <f>4264241+[1]Munka1!$D$8</f>
        <v>4405841</v>
      </c>
      <c r="G171" s="225">
        <f>904240+[1]Munka1!$E$8</f>
        <v>936808</v>
      </c>
      <c r="H171" s="226">
        <f>4559813-1000000-2000000</f>
        <v>1559813</v>
      </c>
      <c r="I171" s="226"/>
      <c r="J171" s="225"/>
      <c r="K171" s="225"/>
      <c r="L171" s="225"/>
      <c r="M171" s="220">
        <f t="shared" ref="M171:M172" si="119">SUM(F171:L171)</f>
        <v>6902462</v>
      </c>
      <c r="N171" s="225">
        <v>0</v>
      </c>
      <c r="O171" s="225"/>
      <c r="P171" s="225"/>
      <c r="Q171" s="225"/>
      <c r="R171" s="227">
        <f t="shared" ref="R171:R172" si="120">SUM(M171:Q171)</f>
        <v>6902462</v>
      </c>
      <c r="S171" s="107">
        <v>2</v>
      </c>
    </row>
    <row r="172" spans="1:19" ht="15.75" customHeight="1" x14ac:dyDescent="0.2">
      <c r="A172" s="228"/>
      <c r="B172" s="229"/>
      <c r="C172" s="1687"/>
      <c r="D172" s="230"/>
      <c r="E172" s="308" t="s">
        <v>304</v>
      </c>
      <c r="F172" s="225">
        <v>3873839</v>
      </c>
      <c r="G172" s="225">
        <v>800017</v>
      </c>
      <c r="H172" s="226">
        <v>1345777</v>
      </c>
      <c r="I172" s="226"/>
      <c r="J172" s="225"/>
      <c r="K172" s="225"/>
      <c r="L172" s="225"/>
      <c r="M172" s="220">
        <f t="shared" si="119"/>
        <v>6019633</v>
      </c>
      <c r="N172" s="225">
        <v>0</v>
      </c>
      <c r="O172" s="225"/>
      <c r="P172" s="225"/>
      <c r="Q172" s="225"/>
      <c r="R172" s="227">
        <f t="shared" si="120"/>
        <v>6019633</v>
      </c>
      <c r="S172" s="107">
        <v>2</v>
      </c>
    </row>
    <row r="173" spans="1:19" ht="15.75" customHeight="1" x14ac:dyDescent="0.2">
      <c r="A173" s="228">
        <v>3</v>
      </c>
      <c r="B173" s="229"/>
      <c r="C173" s="1685" t="s">
        <v>4</v>
      </c>
      <c r="D173" s="230" t="s">
        <v>54</v>
      </c>
      <c r="E173" s="450" t="s">
        <v>232</v>
      </c>
      <c r="F173" s="225"/>
      <c r="G173" s="225"/>
      <c r="H173" s="226"/>
      <c r="I173" s="226"/>
      <c r="J173" s="225"/>
      <c r="K173" s="225"/>
      <c r="L173" s="225"/>
      <c r="M173" s="220"/>
      <c r="N173" s="225"/>
      <c r="O173" s="225"/>
      <c r="P173" s="225"/>
      <c r="Q173" s="225"/>
      <c r="R173" s="227"/>
      <c r="S173" s="107"/>
    </row>
    <row r="174" spans="1:19" ht="15.75" customHeight="1" x14ac:dyDescent="0.2">
      <c r="A174" s="228"/>
      <c r="B174" s="229"/>
      <c r="C174" s="1686"/>
      <c r="D174" s="451"/>
      <c r="E174" s="308" t="s">
        <v>302</v>
      </c>
      <c r="F174" s="225"/>
      <c r="G174" s="225"/>
      <c r="H174" s="226">
        <v>519794</v>
      </c>
      <c r="I174" s="226"/>
      <c r="J174" s="225"/>
      <c r="K174" s="225"/>
      <c r="L174" s="225"/>
      <c r="M174" s="220">
        <f>SUM(F174:L174)</f>
        <v>519794</v>
      </c>
      <c r="N174" s="225"/>
      <c r="O174" s="225"/>
      <c r="P174" s="225"/>
      <c r="Q174" s="225"/>
      <c r="R174" s="227">
        <f>SUM(M174:Q174)</f>
        <v>519794</v>
      </c>
      <c r="S174" s="107"/>
    </row>
    <row r="175" spans="1:19" ht="15.75" customHeight="1" x14ac:dyDescent="0.2">
      <c r="A175" s="228"/>
      <c r="B175" s="229"/>
      <c r="C175" s="1686"/>
      <c r="D175" s="451"/>
      <c r="E175" s="308" t="s">
        <v>303</v>
      </c>
      <c r="F175" s="225"/>
      <c r="G175" s="225"/>
      <c r="H175" s="226">
        <v>219794</v>
      </c>
      <c r="I175" s="226"/>
      <c r="J175" s="225"/>
      <c r="K175" s="225"/>
      <c r="L175" s="225"/>
      <c r="M175" s="220">
        <f t="shared" ref="M175:M176" si="121">SUM(F175:L175)</f>
        <v>219794</v>
      </c>
      <c r="N175" s="225"/>
      <c r="O175" s="225"/>
      <c r="P175" s="225"/>
      <c r="Q175" s="225"/>
      <c r="R175" s="227">
        <f t="shared" ref="R175:R176" si="122">SUM(M175:Q175)</f>
        <v>219794</v>
      </c>
      <c r="S175" s="107"/>
    </row>
    <row r="176" spans="1:19" ht="15.75" customHeight="1" x14ac:dyDescent="0.2">
      <c r="A176" s="228"/>
      <c r="B176" s="229"/>
      <c r="C176" s="1687"/>
      <c r="D176" s="451"/>
      <c r="E176" s="308" t="s">
        <v>304</v>
      </c>
      <c r="F176" s="225"/>
      <c r="G176" s="225"/>
      <c r="H176" s="226">
        <v>135444</v>
      </c>
      <c r="I176" s="226"/>
      <c r="J176" s="225"/>
      <c r="K176" s="225"/>
      <c r="L176" s="225"/>
      <c r="M176" s="220">
        <f t="shared" si="121"/>
        <v>135444</v>
      </c>
      <c r="N176" s="225"/>
      <c r="O176" s="225"/>
      <c r="P176" s="225"/>
      <c r="Q176" s="225"/>
      <c r="R176" s="227">
        <f t="shared" si="122"/>
        <v>135444</v>
      </c>
      <c r="S176" s="107"/>
    </row>
    <row r="177" spans="1:20" ht="15.75" customHeight="1" x14ac:dyDescent="0.2">
      <c r="A177" s="228"/>
      <c r="B177" s="229"/>
      <c r="C177" s="1685" t="s">
        <v>5</v>
      </c>
      <c r="D177" s="1660" t="s">
        <v>54</v>
      </c>
      <c r="E177" s="450" t="s">
        <v>229</v>
      </c>
      <c r="F177" s="225"/>
      <c r="G177" s="225"/>
      <c r="H177" s="226"/>
      <c r="I177" s="226"/>
      <c r="J177" s="225"/>
      <c r="K177" s="225"/>
      <c r="L177" s="225"/>
      <c r="M177" s="220"/>
      <c r="N177" s="225"/>
      <c r="O177" s="225"/>
      <c r="P177" s="225"/>
      <c r="Q177" s="225"/>
      <c r="R177" s="227"/>
      <c r="S177" s="107"/>
    </row>
    <row r="178" spans="1:20" ht="15.75" customHeight="1" x14ac:dyDescent="0.2">
      <c r="A178" s="228"/>
      <c r="B178" s="229"/>
      <c r="C178" s="1686"/>
      <c r="D178" s="1661"/>
      <c r="E178" s="308" t="s">
        <v>302</v>
      </c>
      <c r="F178" s="225"/>
      <c r="G178" s="225"/>
      <c r="H178" s="226">
        <v>2564257</v>
      </c>
      <c r="I178" s="226"/>
      <c r="J178" s="225"/>
      <c r="K178" s="225"/>
      <c r="L178" s="225"/>
      <c r="M178" s="220">
        <f>SUM(F178:L178)</f>
        <v>2564257</v>
      </c>
      <c r="N178" s="225">
        <v>0</v>
      </c>
      <c r="O178" s="225"/>
      <c r="P178" s="225"/>
      <c r="Q178" s="225"/>
      <c r="R178" s="227">
        <f>SUM(M178:Q178)</f>
        <v>2564257</v>
      </c>
      <c r="S178" s="107"/>
    </row>
    <row r="179" spans="1:20" s="208" customFormat="1" ht="15.75" customHeight="1" x14ac:dyDescent="0.2">
      <c r="A179" s="228">
        <v>4</v>
      </c>
      <c r="B179" s="229"/>
      <c r="C179" s="1686"/>
      <c r="D179" s="1661"/>
      <c r="E179" s="308" t="s">
        <v>303</v>
      </c>
      <c r="F179" s="225"/>
      <c r="G179" s="225"/>
      <c r="H179" s="226">
        <f>3911600-1000000-347343-1800000</f>
        <v>764257</v>
      </c>
      <c r="I179" s="226"/>
      <c r="J179" s="225"/>
      <c r="K179" s="225"/>
      <c r="L179" s="225"/>
      <c r="M179" s="220">
        <f t="shared" ref="M179:M180" si="123">SUM(F179:L179)</f>
        <v>764257</v>
      </c>
      <c r="N179" s="225">
        <f>'6 beruházások'!E63</f>
        <v>17647058</v>
      </c>
      <c r="O179" s="225"/>
      <c r="P179" s="225"/>
      <c r="Q179" s="225"/>
      <c r="R179" s="227">
        <f t="shared" ref="R179:R180" si="124">SUM(M179:Q179)</f>
        <v>18411315</v>
      </c>
      <c r="S179" s="107"/>
      <c r="T179" s="21"/>
    </row>
    <row r="180" spans="1:20" s="208" customFormat="1" ht="15.75" customHeight="1" x14ac:dyDescent="0.2">
      <c r="A180" s="228"/>
      <c r="B180" s="229"/>
      <c r="C180" s="1687"/>
      <c r="D180" s="1662"/>
      <c r="E180" s="308" t="s">
        <v>304</v>
      </c>
      <c r="F180" s="225"/>
      <c r="G180" s="225"/>
      <c r="H180" s="226">
        <v>682452</v>
      </c>
      <c r="I180" s="226"/>
      <c r="J180" s="225"/>
      <c r="K180" s="225"/>
      <c r="L180" s="225"/>
      <c r="M180" s="220">
        <f t="shared" si="123"/>
        <v>682452</v>
      </c>
      <c r="N180" s="225">
        <f>'6 beruházások'!F63</f>
        <v>17647058</v>
      </c>
      <c r="O180" s="225"/>
      <c r="P180" s="225"/>
      <c r="Q180" s="225"/>
      <c r="R180" s="227">
        <f t="shared" si="124"/>
        <v>18329510</v>
      </c>
      <c r="S180" s="107"/>
      <c r="T180" s="21"/>
    </row>
    <row r="181" spans="1:20" s="208" customFormat="1" ht="15.75" customHeight="1" x14ac:dyDescent="0.2">
      <c r="A181" s="228"/>
      <c r="B181" s="229"/>
      <c r="C181" s="1685" t="s">
        <v>6</v>
      </c>
      <c r="D181" s="1660" t="s">
        <v>54</v>
      </c>
      <c r="E181" s="450" t="s">
        <v>41</v>
      </c>
      <c r="F181" s="225"/>
      <c r="G181" s="225"/>
      <c r="H181" s="226"/>
      <c r="I181" s="226"/>
      <c r="J181" s="225"/>
      <c r="K181" s="225"/>
      <c r="L181" s="225"/>
      <c r="M181" s="220"/>
      <c r="N181" s="225"/>
      <c r="O181" s="225"/>
      <c r="P181" s="225"/>
      <c r="Q181" s="225"/>
      <c r="R181" s="227"/>
      <c r="S181" s="107"/>
      <c r="T181" s="21"/>
    </row>
    <row r="182" spans="1:20" s="208" customFormat="1" ht="15.75" customHeight="1" x14ac:dyDescent="0.2">
      <c r="A182" s="228"/>
      <c r="B182" s="229"/>
      <c r="C182" s="1686"/>
      <c r="D182" s="1661"/>
      <c r="E182" s="308" t="s">
        <v>302</v>
      </c>
      <c r="F182" s="225"/>
      <c r="G182" s="225"/>
      <c r="H182" s="226">
        <v>4028073</v>
      </c>
      <c r="I182" s="226"/>
      <c r="J182" s="225"/>
      <c r="K182" s="225"/>
      <c r="L182" s="225"/>
      <c r="M182" s="220">
        <f>SUM(F182:L182)</f>
        <v>4028073</v>
      </c>
      <c r="N182" s="225"/>
      <c r="O182" s="225"/>
      <c r="P182" s="225"/>
      <c r="Q182" s="225"/>
      <c r="R182" s="227">
        <f>SUM(M182:Q182)</f>
        <v>4028073</v>
      </c>
      <c r="S182" s="107"/>
      <c r="T182" s="21"/>
    </row>
    <row r="183" spans="1:20" ht="15.75" customHeight="1" x14ac:dyDescent="0.2">
      <c r="A183" s="228">
        <v>5</v>
      </c>
      <c r="B183" s="229"/>
      <c r="C183" s="1686"/>
      <c r="D183" s="1661"/>
      <c r="E183" s="308" t="s">
        <v>303</v>
      </c>
      <c r="F183" s="225"/>
      <c r="G183" s="225"/>
      <c r="H183" s="226">
        <f>4028073</f>
        <v>4028073</v>
      </c>
      <c r="I183" s="226"/>
      <c r="J183" s="225"/>
      <c r="K183" s="225"/>
      <c r="L183" s="225"/>
      <c r="M183" s="220">
        <f t="shared" ref="M183:M184" si="125">SUM(F183:L183)</f>
        <v>4028073</v>
      </c>
      <c r="N183" s="225"/>
      <c r="O183" s="225"/>
      <c r="P183" s="225"/>
      <c r="Q183" s="225"/>
      <c r="R183" s="227">
        <f t="shared" ref="R183:R184" si="126">SUM(M183:Q183)</f>
        <v>4028073</v>
      </c>
      <c r="S183" s="107"/>
    </row>
    <row r="184" spans="1:20" ht="15.75" customHeight="1" x14ac:dyDescent="0.2">
      <c r="A184" s="228"/>
      <c r="B184" s="229"/>
      <c r="C184" s="1687"/>
      <c r="D184" s="1662"/>
      <c r="E184" s="308" t="s">
        <v>304</v>
      </c>
      <c r="F184" s="225"/>
      <c r="G184" s="225"/>
      <c r="H184" s="226">
        <v>3858719</v>
      </c>
      <c r="I184" s="226"/>
      <c r="J184" s="225"/>
      <c r="K184" s="225"/>
      <c r="L184" s="225"/>
      <c r="M184" s="220">
        <f t="shared" si="125"/>
        <v>3858719</v>
      </c>
      <c r="N184" s="225"/>
      <c r="O184" s="225"/>
      <c r="P184" s="225"/>
      <c r="Q184" s="225"/>
      <c r="R184" s="227">
        <f t="shared" si="126"/>
        <v>3858719</v>
      </c>
      <c r="S184" s="107"/>
    </row>
    <row r="185" spans="1:20" ht="15.75" customHeight="1" x14ac:dyDescent="0.15">
      <c r="A185" s="228"/>
      <c r="B185" s="229"/>
      <c r="C185" s="1685" t="s">
        <v>7</v>
      </c>
      <c r="D185" s="1660" t="s">
        <v>54</v>
      </c>
      <c r="E185" s="473" t="s">
        <v>40</v>
      </c>
      <c r="F185" s="225"/>
      <c r="G185" s="225"/>
      <c r="H185" s="226"/>
      <c r="I185" s="226"/>
      <c r="J185" s="225"/>
      <c r="K185" s="225"/>
      <c r="L185" s="225"/>
      <c r="M185" s="220"/>
      <c r="N185" s="225"/>
      <c r="O185" s="225"/>
      <c r="P185" s="225"/>
      <c r="Q185" s="225"/>
      <c r="R185" s="227"/>
      <c r="S185" s="107"/>
    </row>
    <row r="186" spans="1:20" ht="15.75" customHeight="1" x14ac:dyDescent="0.2">
      <c r="A186" s="228"/>
      <c r="B186" s="229"/>
      <c r="C186" s="1686"/>
      <c r="D186" s="1661"/>
      <c r="E186" s="308" t="s">
        <v>302</v>
      </c>
      <c r="F186" s="225">
        <v>0</v>
      </c>
      <c r="G186" s="225">
        <v>0</v>
      </c>
      <c r="H186" s="226">
        <v>3500000</v>
      </c>
      <c r="I186" s="226"/>
      <c r="J186" s="225"/>
      <c r="K186" s="225"/>
      <c r="L186" s="225"/>
      <c r="M186" s="220">
        <f>SUM(F186:L186)</f>
        <v>3500000</v>
      </c>
      <c r="N186" s="225">
        <v>0</v>
      </c>
      <c r="O186" s="225"/>
      <c r="P186" s="225"/>
      <c r="Q186" s="225"/>
      <c r="R186" s="227">
        <f>SUM(M186:Q186)</f>
        <v>3500000</v>
      </c>
      <c r="S186" s="107"/>
    </row>
    <row r="187" spans="1:20" ht="15.75" customHeight="1" x14ac:dyDescent="0.2">
      <c r="A187" s="228">
        <v>6</v>
      </c>
      <c r="B187" s="229"/>
      <c r="C187" s="1686"/>
      <c r="D187" s="1661"/>
      <c r="E187" s="308" t="s">
        <v>303</v>
      </c>
      <c r="F187" s="225">
        <f>1147500-306678-2</f>
        <v>840820</v>
      </c>
      <c r="G187" s="225">
        <f>252456</f>
        <v>252456</v>
      </c>
      <c r="H187" s="226">
        <f>4500000-1000000+(5028000-3500000)+4628565</f>
        <v>9656565</v>
      </c>
      <c r="I187" s="226"/>
      <c r="J187" s="225"/>
      <c r="K187" s="225"/>
      <c r="L187" s="225"/>
      <c r="M187" s="220">
        <f t="shared" ref="M187:M188" si="127">SUM(F187:L187)</f>
        <v>10749841</v>
      </c>
      <c r="N187" s="225">
        <f>(33992+36772+77134+299063)*1.27+'6 beruházások'!E14</f>
        <v>1067640.47</v>
      </c>
      <c r="O187" s="225"/>
      <c r="P187" s="225"/>
      <c r="Q187" s="225"/>
      <c r="R187" s="227">
        <f t="shared" ref="R187:R188" si="128">SUM(M187:Q187)</f>
        <v>11817481.470000001</v>
      </c>
      <c r="S187" s="107"/>
    </row>
    <row r="188" spans="1:20" ht="15.75" customHeight="1" x14ac:dyDescent="0.2">
      <c r="A188" s="228"/>
      <c r="B188" s="229"/>
      <c r="C188" s="1687"/>
      <c r="D188" s="1662"/>
      <c r="E188" s="308" t="s">
        <v>304</v>
      </c>
      <c r="F188" s="225">
        <v>0</v>
      </c>
      <c r="G188" s="225">
        <v>0</v>
      </c>
      <c r="H188" s="226">
        <v>9656565</v>
      </c>
      <c r="I188" s="226"/>
      <c r="J188" s="225"/>
      <c r="K188" s="225"/>
      <c r="L188" s="225"/>
      <c r="M188" s="220">
        <f t="shared" si="127"/>
        <v>9656565</v>
      </c>
      <c r="N188" s="225">
        <f>'6 beruházások'!F16+'6 beruházások'!F14</f>
        <v>1067640</v>
      </c>
      <c r="O188" s="225"/>
      <c r="P188" s="225"/>
      <c r="Q188" s="225"/>
      <c r="R188" s="227">
        <f t="shared" si="128"/>
        <v>10724205</v>
      </c>
      <c r="S188" s="107"/>
    </row>
    <row r="189" spans="1:20" ht="15.75" customHeight="1" x14ac:dyDescent="0.2">
      <c r="A189" s="228"/>
      <c r="B189" s="229"/>
      <c r="C189" s="1688" t="s">
        <v>8</v>
      </c>
      <c r="D189" s="1660" t="s">
        <v>54</v>
      </c>
      <c r="E189" s="986" t="s">
        <v>230</v>
      </c>
      <c r="F189" s="225"/>
      <c r="G189" s="225"/>
      <c r="H189" s="226"/>
      <c r="I189" s="226"/>
      <c r="J189" s="225"/>
      <c r="K189" s="225"/>
      <c r="L189" s="225"/>
      <c r="M189" s="220"/>
      <c r="N189" s="225"/>
      <c r="O189" s="225"/>
      <c r="P189" s="225"/>
      <c r="Q189" s="225"/>
      <c r="R189" s="227"/>
      <c r="S189" s="107"/>
    </row>
    <row r="190" spans="1:20" ht="15.75" customHeight="1" x14ac:dyDescent="0.2">
      <c r="A190" s="228"/>
      <c r="B190" s="229"/>
      <c r="C190" s="1689"/>
      <c r="D190" s="1661"/>
      <c r="E190" s="852" t="s">
        <v>302</v>
      </c>
      <c r="F190" s="225">
        <v>0</v>
      </c>
      <c r="G190" s="225">
        <v>0</v>
      </c>
      <c r="H190" s="226">
        <v>100000</v>
      </c>
      <c r="I190" s="226"/>
      <c r="J190" s="225"/>
      <c r="K190" s="225"/>
      <c r="L190" s="225"/>
      <c r="M190" s="220">
        <f>SUM(F190:L190)</f>
        <v>100000</v>
      </c>
      <c r="N190" s="225">
        <v>0</v>
      </c>
      <c r="O190" s="225"/>
      <c r="P190" s="225"/>
      <c r="Q190" s="225"/>
      <c r="R190" s="227">
        <f>SUM(M190:Q190)</f>
        <v>100000</v>
      </c>
      <c r="S190" s="107"/>
    </row>
    <row r="191" spans="1:20" ht="15.75" customHeight="1" x14ac:dyDescent="0.2">
      <c r="A191" s="228">
        <v>7</v>
      </c>
      <c r="B191" s="229"/>
      <c r="C191" s="1689"/>
      <c r="D191" s="1661"/>
      <c r="E191" s="852" t="s">
        <v>303</v>
      </c>
      <c r="F191" s="225">
        <f>207792+633886</f>
        <v>841678</v>
      </c>
      <c r="G191" s="225">
        <v>60708</v>
      </c>
      <c r="H191" s="226">
        <f>844000</f>
        <v>844000</v>
      </c>
      <c r="I191" s="226"/>
      <c r="J191" s="225"/>
      <c r="K191" s="225"/>
      <c r="L191" s="225"/>
      <c r="M191" s="220">
        <f t="shared" ref="M191:M192" si="129">SUM(F191:L191)</f>
        <v>1746386</v>
      </c>
      <c r="N191" s="225">
        <f>'6 beruházások'!E12+'6 beruházások'!E11+'6 beruházások'!E13+'6 beruházások'!E14</f>
        <v>1913700</v>
      </c>
      <c r="O191" s="225"/>
      <c r="P191" s="225"/>
      <c r="Q191" s="225"/>
      <c r="R191" s="227">
        <f t="shared" ref="R191:R192" si="130">SUM(M191:Q191)</f>
        <v>3660086</v>
      </c>
      <c r="S191" s="107"/>
    </row>
    <row r="192" spans="1:20" ht="15.75" customHeight="1" x14ac:dyDescent="0.2">
      <c r="A192" s="228"/>
      <c r="B192" s="229"/>
      <c r="C192" s="1690"/>
      <c r="D192" s="1662"/>
      <c r="E192" s="852" t="s">
        <v>304</v>
      </c>
      <c r="F192" s="225">
        <v>0</v>
      </c>
      <c r="G192" s="225">
        <v>0</v>
      </c>
      <c r="H192" s="226">
        <v>697602</v>
      </c>
      <c r="I192" s="226"/>
      <c r="J192" s="225"/>
      <c r="K192" s="225"/>
      <c r="L192" s="225"/>
      <c r="M192" s="220">
        <f t="shared" si="129"/>
        <v>697602</v>
      </c>
      <c r="N192" s="225">
        <f>'6 beruházások'!F12+'6 beruházások'!F11+'6 beruházások'!F13</f>
        <v>1413700</v>
      </c>
      <c r="O192" s="225"/>
      <c r="P192" s="225"/>
      <c r="Q192" s="225"/>
      <c r="R192" s="227">
        <f t="shared" si="130"/>
        <v>2111302</v>
      </c>
      <c r="S192" s="107"/>
    </row>
    <row r="193" spans="1:19" ht="15.75" customHeight="1" x14ac:dyDescent="0.15">
      <c r="A193" s="228">
        <v>8</v>
      </c>
      <c r="B193" s="229"/>
      <c r="C193" s="1685" t="s">
        <v>9</v>
      </c>
      <c r="D193" s="1660"/>
      <c r="E193" s="473" t="s">
        <v>356</v>
      </c>
      <c r="F193" s="225"/>
      <c r="G193" s="231"/>
      <c r="H193" s="231"/>
      <c r="I193" s="232"/>
      <c r="J193" s="231"/>
      <c r="K193" s="231"/>
      <c r="L193" s="231"/>
      <c r="M193" s="220"/>
      <c r="N193" s="231"/>
      <c r="O193" s="231"/>
      <c r="P193" s="231"/>
      <c r="Q193" s="231"/>
      <c r="R193" s="227"/>
      <c r="S193" s="107"/>
    </row>
    <row r="194" spans="1:19" ht="15.75" customHeight="1" x14ac:dyDescent="0.2">
      <c r="A194" s="228"/>
      <c r="B194" s="229"/>
      <c r="C194" s="1686"/>
      <c r="D194" s="1661"/>
      <c r="E194" s="308" t="s">
        <v>302</v>
      </c>
      <c r="F194" s="225">
        <f>F198+F202</f>
        <v>0</v>
      </c>
      <c r="G194" s="225">
        <f t="shared" ref="G194:L194" si="131">G198+G202</f>
        <v>0</v>
      </c>
      <c r="H194" s="225">
        <f>H198+H202</f>
        <v>650000</v>
      </c>
      <c r="I194" s="225">
        <f t="shared" si="131"/>
        <v>0</v>
      </c>
      <c r="J194" s="225">
        <f t="shared" si="131"/>
        <v>0</v>
      </c>
      <c r="K194" s="225">
        <f t="shared" si="131"/>
        <v>0</v>
      </c>
      <c r="L194" s="225">
        <f t="shared" si="131"/>
        <v>0</v>
      </c>
      <c r="M194" s="220">
        <f>SUM(F194:L194)</f>
        <v>650000</v>
      </c>
      <c r="N194" s="231">
        <f>N198</f>
        <v>0</v>
      </c>
      <c r="O194" s="231"/>
      <c r="P194" s="485"/>
      <c r="Q194" s="486"/>
      <c r="R194" s="227">
        <f t="shared" ref="R194:R216" si="132">SUM(M194:Q194)</f>
        <v>650000</v>
      </c>
      <c r="S194" s="107"/>
    </row>
    <row r="195" spans="1:19" ht="15.75" customHeight="1" x14ac:dyDescent="0.2">
      <c r="A195" s="228"/>
      <c r="B195" s="229"/>
      <c r="C195" s="1686"/>
      <c r="D195" s="1661"/>
      <c r="E195" s="308" t="s">
        <v>303</v>
      </c>
      <c r="F195" s="225">
        <f t="shared" ref="F195:L196" si="133">F199+F203</f>
        <v>0</v>
      </c>
      <c r="G195" s="225">
        <f t="shared" si="133"/>
        <v>0</v>
      </c>
      <c r="H195" s="225">
        <f>H199+H203</f>
        <v>2100000</v>
      </c>
      <c r="I195" s="225">
        <f t="shared" si="133"/>
        <v>0</v>
      </c>
      <c r="J195" s="225">
        <f t="shared" si="133"/>
        <v>0</v>
      </c>
      <c r="K195" s="225">
        <f t="shared" si="133"/>
        <v>0</v>
      </c>
      <c r="L195" s="225">
        <f t="shared" si="133"/>
        <v>0</v>
      </c>
      <c r="M195" s="220">
        <f t="shared" ref="M195:M204" si="134">SUM(F195:L195)</f>
        <v>2100000</v>
      </c>
      <c r="N195" s="231">
        <f t="shared" ref="N195:N196" si="135">N199</f>
        <v>37149000</v>
      </c>
      <c r="O195" s="231"/>
      <c r="P195" s="485"/>
      <c r="Q195" s="486"/>
      <c r="R195" s="227">
        <f t="shared" si="132"/>
        <v>39249000</v>
      </c>
      <c r="S195" s="107"/>
    </row>
    <row r="196" spans="1:19" ht="15.75" customHeight="1" x14ac:dyDescent="0.2">
      <c r="A196" s="228"/>
      <c r="B196" s="229"/>
      <c r="C196" s="1686"/>
      <c r="D196" s="1661"/>
      <c r="E196" s="308" t="s">
        <v>304</v>
      </c>
      <c r="F196" s="225">
        <f t="shared" si="133"/>
        <v>0</v>
      </c>
      <c r="G196" s="225">
        <f t="shared" si="133"/>
        <v>0</v>
      </c>
      <c r="H196" s="225">
        <f>H200+H204</f>
        <v>2078365</v>
      </c>
      <c r="I196" s="225">
        <f t="shared" si="133"/>
        <v>0</v>
      </c>
      <c r="J196" s="225">
        <f t="shared" si="133"/>
        <v>0</v>
      </c>
      <c r="K196" s="225">
        <f t="shared" si="133"/>
        <v>0</v>
      </c>
      <c r="L196" s="225">
        <f t="shared" si="133"/>
        <v>0</v>
      </c>
      <c r="M196" s="220">
        <f t="shared" si="134"/>
        <v>2078365</v>
      </c>
      <c r="N196" s="231">
        <f t="shared" si="135"/>
        <v>5027998</v>
      </c>
      <c r="O196" s="231"/>
      <c r="P196" s="485"/>
      <c r="Q196" s="486"/>
      <c r="R196" s="227">
        <f t="shared" si="132"/>
        <v>7106363</v>
      </c>
      <c r="S196" s="107"/>
    </row>
    <row r="197" spans="1:19" ht="15.75" customHeight="1" x14ac:dyDescent="0.2">
      <c r="A197" s="228"/>
      <c r="B197" s="229"/>
      <c r="C197" s="1686"/>
      <c r="D197" s="1661"/>
      <c r="E197" s="487" t="s">
        <v>65</v>
      </c>
      <c r="F197" s="225"/>
      <c r="G197" s="231"/>
      <c r="H197" s="231"/>
      <c r="I197" s="232"/>
      <c r="J197" s="231"/>
      <c r="K197" s="231"/>
      <c r="L197" s="231"/>
      <c r="M197" s="220"/>
      <c r="N197" s="231"/>
      <c r="O197" s="231"/>
      <c r="P197" s="485"/>
      <c r="Q197" s="486"/>
      <c r="R197" s="227"/>
      <c r="S197" s="107"/>
    </row>
    <row r="198" spans="1:19" ht="15.75" customHeight="1" x14ac:dyDescent="0.2">
      <c r="A198" s="228"/>
      <c r="B198" s="229"/>
      <c r="C198" s="1686"/>
      <c r="D198" s="1661"/>
      <c r="E198" s="308" t="s">
        <v>302</v>
      </c>
      <c r="F198" s="225"/>
      <c r="G198" s="231"/>
      <c r="H198" s="231">
        <v>650000</v>
      </c>
      <c r="I198" s="232"/>
      <c r="J198" s="231"/>
      <c r="K198" s="231"/>
      <c r="L198" s="231"/>
      <c r="M198" s="220">
        <f t="shared" si="134"/>
        <v>650000</v>
      </c>
      <c r="N198" s="231">
        <v>0</v>
      </c>
      <c r="O198" s="231"/>
      <c r="P198" s="485"/>
      <c r="Q198" s="486"/>
      <c r="R198" s="227">
        <f t="shared" si="132"/>
        <v>650000</v>
      </c>
      <c r="S198" s="107"/>
    </row>
    <row r="199" spans="1:19" ht="15.75" customHeight="1" x14ac:dyDescent="0.2">
      <c r="A199" s="228"/>
      <c r="B199" s="229"/>
      <c r="C199" s="1686"/>
      <c r="D199" s="1661"/>
      <c r="E199" s="308" t="s">
        <v>303</v>
      </c>
      <c r="F199" s="231"/>
      <c r="G199" s="231"/>
      <c r="H199" s="232">
        <f>1150000</f>
        <v>1150000</v>
      </c>
      <c r="I199" s="232"/>
      <c r="J199" s="231"/>
      <c r="K199" s="231"/>
      <c r="L199" s="231"/>
      <c r="M199" s="220">
        <f t="shared" si="134"/>
        <v>1150000</v>
      </c>
      <c r="N199" s="231">
        <v>37149000</v>
      </c>
      <c r="O199" s="231"/>
      <c r="P199" s="485"/>
      <c r="Q199" s="486"/>
      <c r="R199" s="227">
        <f t="shared" si="132"/>
        <v>38299000</v>
      </c>
      <c r="S199" s="107"/>
    </row>
    <row r="200" spans="1:19" ht="15.75" customHeight="1" x14ac:dyDescent="0.2">
      <c r="A200" s="228"/>
      <c r="B200" s="229"/>
      <c r="C200" s="1686"/>
      <c r="D200" s="1661"/>
      <c r="E200" s="308" t="s">
        <v>304</v>
      </c>
      <c r="F200" s="221"/>
      <c r="G200" s="221"/>
      <c r="H200" s="219">
        <f>80040+2520+10353+1048600</f>
        <v>1141513</v>
      </c>
      <c r="I200" s="219"/>
      <c r="J200" s="221"/>
      <c r="K200" s="221"/>
      <c r="L200" s="221"/>
      <c r="M200" s="220">
        <f t="shared" si="134"/>
        <v>1141513</v>
      </c>
      <c r="N200" s="221">
        <f>'6 beruházások'!F10</f>
        <v>5027998</v>
      </c>
      <c r="O200" s="221"/>
      <c r="P200" s="485"/>
      <c r="Q200" s="486"/>
      <c r="R200" s="227">
        <f t="shared" si="132"/>
        <v>6169511</v>
      </c>
      <c r="S200" s="107"/>
    </row>
    <row r="201" spans="1:19" ht="15.75" customHeight="1" x14ac:dyDescent="0.2">
      <c r="A201" s="228"/>
      <c r="B201" s="229"/>
      <c r="C201" s="1686"/>
      <c r="D201" s="1661"/>
      <c r="E201" s="487" t="s">
        <v>66</v>
      </c>
      <c r="F201" s="221"/>
      <c r="G201" s="221"/>
      <c r="H201" s="219"/>
      <c r="I201" s="219"/>
      <c r="J201" s="221"/>
      <c r="K201" s="221"/>
      <c r="L201" s="221"/>
      <c r="M201" s="220"/>
      <c r="N201" s="221"/>
      <c r="O201" s="221"/>
      <c r="P201" s="485"/>
      <c r="Q201" s="486"/>
      <c r="R201" s="227">
        <f t="shared" si="132"/>
        <v>0</v>
      </c>
      <c r="S201" s="107"/>
    </row>
    <row r="202" spans="1:19" ht="15.75" customHeight="1" x14ac:dyDescent="0.2">
      <c r="A202" s="228"/>
      <c r="B202" s="229"/>
      <c r="C202" s="1686"/>
      <c r="D202" s="1661"/>
      <c r="E202" s="308" t="s">
        <v>302</v>
      </c>
      <c r="F202" s="221"/>
      <c r="G202" s="221"/>
      <c r="H202" s="219"/>
      <c r="I202" s="219"/>
      <c r="J202" s="221"/>
      <c r="K202" s="221"/>
      <c r="L202" s="221"/>
      <c r="M202" s="220">
        <f t="shared" si="134"/>
        <v>0</v>
      </c>
      <c r="N202" s="221">
        <f>H202</f>
        <v>0</v>
      </c>
      <c r="O202" s="221"/>
      <c r="P202" s="485"/>
      <c r="Q202" s="486"/>
      <c r="R202" s="227">
        <f t="shared" si="132"/>
        <v>0</v>
      </c>
      <c r="S202" s="107"/>
    </row>
    <row r="203" spans="1:19" ht="15.75" customHeight="1" x14ac:dyDescent="0.2">
      <c r="A203" s="228"/>
      <c r="B203" s="229"/>
      <c r="C203" s="1686"/>
      <c r="D203" s="1661"/>
      <c r="E203" s="308" t="s">
        <v>303</v>
      </c>
      <c r="F203" s="221"/>
      <c r="G203" s="221"/>
      <c r="H203" s="219">
        <f>10765+926087+13148</f>
        <v>950000</v>
      </c>
      <c r="I203" s="219"/>
      <c r="J203" s="221"/>
      <c r="K203" s="221"/>
      <c r="L203" s="221"/>
      <c r="M203" s="220">
        <f t="shared" si="134"/>
        <v>950000</v>
      </c>
      <c r="N203" s="221"/>
      <c r="O203" s="221"/>
      <c r="P203" s="231"/>
      <c r="Q203" s="486"/>
      <c r="R203" s="227">
        <f t="shared" si="132"/>
        <v>950000</v>
      </c>
      <c r="S203" s="107"/>
    </row>
    <row r="204" spans="1:19" ht="15.75" customHeight="1" x14ac:dyDescent="0.2">
      <c r="A204" s="228"/>
      <c r="B204" s="229"/>
      <c r="C204" s="1687"/>
      <c r="D204" s="1662"/>
      <c r="E204" s="308" t="s">
        <v>304</v>
      </c>
      <c r="F204" s="221"/>
      <c r="G204" s="221"/>
      <c r="H204" s="219">
        <f>10765+926087</f>
        <v>936852</v>
      </c>
      <c r="I204" s="219"/>
      <c r="J204" s="221"/>
      <c r="K204" s="221"/>
      <c r="L204" s="221"/>
      <c r="M204" s="220">
        <f t="shared" si="134"/>
        <v>936852</v>
      </c>
      <c r="N204" s="221"/>
      <c r="O204" s="221"/>
      <c r="P204" s="231"/>
      <c r="Q204" s="486"/>
      <c r="R204" s="227">
        <f t="shared" si="132"/>
        <v>936852</v>
      </c>
      <c r="S204" s="107"/>
    </row>
    <row r="205" spans="1:19" ht="15.75" customHeight="1" x14ac:dyDescent="0.15">
      <c r="A205" s="228">
        <v>9</v>
      </c>
      <c r="B205" s="229"/>
      <c r="C205" s="1685" t="s">
        <v>10</v>
      </c>
      <c r="D205" s="230"/>
      <c r="E205" s="488" t="s">
        <v>209</v>
      </c>
      <c r="F205" s="512"/>
      <c r="G205" s="512"/>
      <c r="H205" s="512"/>
      <c r="I205" s="232"/>
      <c r="J205" s="231"/>
      <c r="K205" s="231"/>
      <c r="L205" s="231"/>
      <c r="M205" s="220"/>
      <c r="N205" s="231"/>
      <c r="O205" s="231"/>
      <c r="P205" s="231"/>
      <c r="Q205" s="486"/>
      <c r="R205" s="227">
        <f t="shared" si="132"/>
        <v>0</v>
      </c>
      <c r="S205" s="106"/>
    </row>
    <row r="206" spans="1:19" ht="15.75" customHeight="1" x14ac:dyDescent="0.2">
      <c r="A206" s="228"/>
      <c r="B206" s="229"/>
      <c r="C206" s="1686"/>
      <c r="D206" s="230"/>
      <c r="E206" s="308" t="s">
        <v>302</v>
      </c>
      <c r="F206" s="231"/>
      <c r="G206" s="231"/>
      <c r="H206" s="232"/>
      <c r="I206" s="232"/>
      <c r="J206" s="231"/>
      <c r="K206" s="231"/>
      <c r="L206" s="231"/>
      <c r="M206" s="220">
        <f t="shared" si="118"/>
        <v>0</v>
      </c>
      <c r="N206" s="231"/>
      <c r="O206" s="231"/>
      <c r="P206" s="225"/>
      <c r="Q206" s="225"/>
      <c r="R206" s="227">
        <f t="shared" si="132"/>
        <v>0</v>
      </c>
      <c r="S206" s="107"/>
    </row>
    <row r="207" spans="1:19" ht="15.75" customHeight="1" x14ac:dyDescent="0.2">
      <c r="A207" s="228"/>
      <c r="B207" s="229"/>
      <c r="C207" s="1686"/>
      <c r="D207" s="230"/>
      <c r="E207" s="308" t="s">
        <v>303</v>
      </c>
      <c r="F207" s="231">
        <f t="shared" ref="F207:H208" si="136">F211+F215</f>
        <v>500002</v>
      </c>
      <c r="G207" s="231">
        <f t="shared" si="136"/>
        <v>137000</v>
      </c>
      <c r="H207" s="232">
        <f t="shared" si="136"/>
        <v>3000000</v>
      </c>
      <c r="I207" s="232"/>
      <c r="J207" s="231"/>
      <c r="K207" s="231"/>
      <c r="L207" s="231"/>
      <c r="M207" s="220">
        <f t="shared" si="118"/>
        <v>3637002</v>
      </c>
      <c r="N207" s="231">
        <v>148677</v>
      </c>
      <c r="O207" s="231"/>
      <c r="P207" s="225"/>
      <c r="Q207" s="225"/>
      <c r="R207" s="227">
        <f t="shared" si="132"/>
        <v>3785679</v>
      </c>
      <c r="S207" s="107"/>
    </row>
    <row r="208" spans="1:19" ht="15.75" customHeight="1" x14ac:dyDescent="0.2">
      <c r="A208" s="228"/>
      <c r="B208" s="229"/>
      <c r="C208" s="1686"/>
      <c r="D208" s="230"/>
      <c r="E208" s="308" t="s">
        <v>304</v>
      </c>
      <c r="F208" s="231">
        <f t="shared" si="136"/>
        <v>500002</v>
      </c>
      <c r="G208" s="231">
        <f t="shared" si="136"/>
        <v>136880</v>
      </c>
      <c r="H208" s="232">
        <f t="shared" si="136"/>
        <v>2967691</v>
      </c>
      <c r="I208" s="232"/>
      <c r="J208" s="231"/>
      <c r="K208" s="231"/>
      <c r="L208" s="231"/>
      <c r="M208" s="220">
        <f t="shared" si="118"/>
        <v>3604573</v>
      </c>
      <c r="N208" s="231">
        <v>148460</v>
      </c>
      <c r="O208" s="231"/>
      <c r="P208" s="225"/>
      <c r="Q208" s="225"/>
      <c r="R208" s="227">
        <f t="shared" si="132"/>
        <v>3753033</v>
      </c>
      <c r="S208" s="107"/>
    </row>
    <row r="209" spans="1:19" ht="15.75" customHeight="1" x14ac:dyDescent="0.2">
      <c r="A209" s="228"/>
      <c r="B209" s="229"/>
      <c r="C209" s="1686"/>
      <c r="D209" s="1660" t="s">
        <v>54</v>
      </c>
      <c r="E209" s="487" t="s">
        <v>65</v>
      </c>
      <c r="F209" s="231"/>
      <c r="G209" s="231"/>
      <c r="H209" s="232"/>
      <c r="I209" s="232"/>
      <c r="J209" s="231"/>
      <c r="K209" s="231"/>
      <c r="L209" s="231"/>
      <c r="M209" s="220"/>
      <c r="N209" s="231"/>
      <c r="O209" s="231"/>
      <c r="P209" s="225"/>
      <c r="Q209" s="225"/>
      <c r="R209" s="227">
        <f t="shared" si="132"/>
        <v>0</v>
      </c>
      <c r="S209" s="107"/>
    </row>
    <row r="210" spans="1:19" ht="15.75" customHeight="1" x14ac:dyDescent="0.2">
      <c r="A210" s="228"/>
      <c r="B210" s="229"/>
      <c r="C210" s="1686"/>
      <c r="D210" s="1661"/>
      <c r="E210" s="308" t="s">
        <v>302</v>
      </c>
      <c r="F210" s="231"/>
      <c r="G210" s="231"/>
      <c r="H210" s="232">
        <v>3316876</v>
      </c>
      <c r="I210" s="232"/>
      <c r="J210" s="231"/>
      <c r="K210" s="231"/>
      <c r="L210" s="231"/>
      <c r="M210" s="220"/>
      <c r="N210" s="231">
        <v>0</v>
      </c>
      <c r="O210" s="231"/>
      <c r="P210" s="225"/>
      <c r="Q210" s="225"/>
      <c r="R210" s="227">
        <f t="shared" si="132"/>
        <v>0</v>
      </c>
      <c r="S210" s="107"/>
    </row>
    <row r="211" spans="1:19" ht="15.75" customHeight="1" x14ac:dyDescent="0.2">
      <c r="A211" s="228"/>
      <c r="B211" s="229"/>
      <c r="C211" s="1686"/>
      <c r="D211" s="1661"/>
      <c r="E211" s="308" t="s">
        <v>303</v>
      </c>
      <c r="F211" s="231">
        <v>240003</v>
      </c>
      <c r="G211" s="231">
        <f>64811</f>
        <v>64811</v>
      </c>
      <c r="H211" s="232">
        <f>2771602+32309</f>
        <v>2803911</v>
      </c>
      <c r="I211" s="232"/>
      <c r="J211" s="231"/>
      <c r="K211" s="231"/>
      <c r="L211" s="231"/>
      <c r="M211" s="220">
        <f>SUM(F211:L211)</f>
        <v>3108725</v>
      </c>
      <c r="N211" s="231">
        <f>148677+10</f>
        <v>148687</v>
      </c>
      <c r="O211" s="231"/>
      <c r="P211" s="225"/>
      <c r="Q211" s="225"/>
      <c r="R211" s="227">
        <f t="shared" si="132"/>
        <v>3257412</v>
      </c>
      <c r="S211" s="107"/>
    </row>
    <row r="212" spans="1:19" ht="15.75" customHeight="1" x14ac:dyDescent="0.2">
      <c r="A212" s="228"/>
      <c r="B212" s="229"/>
      <c r="C212" s="1686"/>
      <c r="D212" s="1662"/>
      <c r="E212" s="308" t="s">
        <v>304</v>
      </c>
      <c r="F212" s="231">
        <f>240003</f>
        <v>240003</v>
      </c>
      <c r="G212" s="231">
        <v>64801</v>
      </c>
      <c r="H212" s="232">
        <v>2771602</v>
      </c>
      <c r="I212" s="232"/>
      <c r="J212" s="231"/>
      <c r="K212" s="231"/>
      <c r="L212" s="231"/>
      <c r="M212" s="220">
        <f t="shared" ref="M212:M216" si="137">SUM(F212:L212)</f>
        <v>3076406</v>
      </c>
      <c r="N212" s="231">
        <f>'6 beruházások'!F17</f>
        <v>148560</v>
      </c>
      <c r="O212" s="231"/>
      <c r="P212" s="225"/>
      <c r="Q212" s="225"/>
      <c r="R212" s="227">
        <f t="shared" si="132"/>
        <v>3224966</v>
      </c>
      <c r="S212" s="107"/>
    </row>
    <row r="213" spans="1:19" ht="15.75" customHeight="1" x14ac:dyDescent="0.2">
      <c r="A213" s="228"/>
      <c r="B213" s="229"/>
      <c r="C213" s="1686"/>
      <c r="D213" s="1660" t="s">
        <v>55</v>
      </c>
      <c r="E213" s="487" t="s">
        <v>66</v>
      </c>
      <c r="F213" s="231"/>
      <c r="G213" s="231"/>
      <c r="H213" s="232"/>
      <c r="I213" s="232"/>
      <c r="J213" s="231"/>
      <c r="K213" s="231"/>
      <c r="L213" s="231"/>
      <c r="M213" s="220"/>
      <c r="N213" s="231"/>
      <c r="O213" s="231"/>
      <c r="P213" s="225"/>
      <c r="Q213" s="225"/>
      <c r="R213" s="227"/>
      <c r="S213" s="107"/>
    </row>
    <row r="214" spans="1:19" ht="15.75" customHeight="1" x14ac:dyDescent="0.2">
      <c r="A214" s="228"/>
      <c r="B214" s="229"/>
      <c r="C214" s="1686"/>
      <c r="D214" s="1661"/>
      <c r="E214" s="308" t="s">
        <v>302</v>
      </c>
      <c r="F214" s="231">
        <v>0</v>
      </c>
      <c r="G214" s="231">
        <v>0</v>
      </c>
      <c r="H214" s="232">
        <v>0</v>
      </c>
      <c r="I214" s="232"/>
      <c r="J214" s="231"/>
      <c r="K214" s="231"/>
      <c r="L214" s="231"/>
      <c r="M214" s="220">
        <f t="shared" si="137"/>
        <v>0</v>
      </c>
      <c r="N214" s="231"/>
      <c r="O214" s="231"/>
      <c r="P214" s="225"/>
      <c r="Q214" s="225"/>
      <c r="R214" s="227">
        <f t="shared" si="132"/>
        <v>0</v>
      </c>
      <c r="S214" s="107"/>
    </row>
    <row r="215" spans="1:19" ht="15.75" customHeight="1" x14ac:dyDescent="0.2">
      <c r="A215" s="228"/>
      <c r="B215" s="229"/>
      <c r="C215" s="1686"/>
      <c r="D215" s="1661"/>
      <c r="E215" s="308" t="s">
        <v>303</v>
      </c>
      <c r="F215" s="231">
        <v>259999</v>
      </c>
      <c r="G215" s="231">
        <f>72189</f>
        <v>72189</v>
      </c>
      <c r="H215" s="232">
        <v>196089</v>
      </c>
      <c r="I215" s="232"/>
      <c r="J215" s="231"/>
      <c r="K215" s="231"/>
      <c r="L215" s="231"/>
      <c r="M215" s="220">
        <f t="shared" si="137"/>
        <v>528277</v>
      </c>
      <c r="N215" s="231"/>
      <c r="O215" s="231"/>
      <c r="P215" s="225"/>
      <c r="Q215" s="225"/>
      <c r="R215" s="227">
        <f t="shared" si="132"/>
        <v>528277</v>
      </c>
      <c r="S215" s="107"/>
    </row>
    <row r="216" spans="1:19" ht="15.75" customHeight="1" x14ac:dyDescent="0.2">
      <c r="A216" s="228"/>
      <c r="B216" s="229"/>
      <c r="C216" s="1687"/>
      <c r="D216" s="1662"/>
      <c r="E216" s="308" t="s">
        <v>304</v>
      </c>
      <c r="F216" s="231">
        <v>259999</v>
      </c>
      <c r="G216" s="231">
        <v>72079</v>
      </c>
      <c r="H216" s="232">
        <v>196089</v>
      </c>
      <c r="I216" s="232"/>
      <c r="J216" s="231"/>
      <c r="K216" s="231"/>
      <c r="L216" s="231"/>
      <c r="M216" s="220">
        <f t="shared" si="137"/>
        <v>528167</v>
      </c>
      <c r="N216" s="225"/>
      <c r="O216" s="225"/>
      <c r="P216" s="225"/>
      <c r="Q216" s="225"/>
      <c r="R216" s="227">
        <f t="shared" si="132"/>
        <v>528167</v>
      </c>
      <c r="S216" s="107"/>
    </row>
    <row r="217" spans="1:19" ht="15.75" customHeight="1" x14ac:dyDescent="0.2">
      <c r="A217" s="228">
        <v>10</v>
      </c>
      <c r="B217" s="236"/>
      <c r="C217" s="1682" t="s">
        <v>323</v>
      </c>
      <c r="D217" s="1669" t="s">
        <v>55</v>
      </c>
      <c r="E217" s="452" t="s">
        <v>231</v>
      </c>
      <c r="F217" s="985"/>
      <c r="G217" s="985"/>
      <c r="H217" s="985"/>
      <c r="I217" s="985"/>
      <c r="J217" s="985"/>
      <c r="K217" s="985"/>
      <c r="L217" s="985"/>
      <c r="M217" s="982"/>
      <c r="N217" s="225"/>
      <c r="O217" s="225"/>
      <c r="P217" s="225"/>
      <c r="Q217" s="225"/>
      <c r="R217" s="227"/>
      <c r="S217" s="107"/>
    </row>
    <row r="218" spans="1:19" ht="15.75" customHeight="1" x14ac:dyDescent="0.2">
      <c r="A218" s="228"/>
      <c r="B218" s="275"/>
      <c r="C218" s="1683"/>
      <c r="D218" s="1670"/>
      <c r="E218" s="308" t="s">
        <v>302</v>
      </c>
      <c r="F218" s="225">
        <v>300000</v>
      </c>
      <c r="G218" s="225">
        <v>66000</v>
      </c>
      <c r="H218" s="226">
        <v>750000</v>
      </c>
      <c r="I218" s="226"/>
      <c r="J218" s="225"/>
      <c r="K218" s="225"/>
      <c r="L218" s="225"/>
      <c r="M218" s="220">
        <f>SUM(F218:L218)</f>
        <v>1116000</v>
      </c>
      <c r="N218" s="225"/>
      <c r="O218" s="225"/>
      <c r="P218" s="225"/>
      <c r="Q218" s="225"/>
      <c r="R218" s="227">
        <f>SUM(M218:Q218)</f>
        <v>1116000</v>
      </c>
      <c r="S218" s="107"/>
    </row>
    <row r="219" spans="1:19" ht="15.75" customHeight="1" x14ac:dyDescent="0.2">
      <c r="A219" s="228"/>
      <c r="B219" s="275"/>
      <c r="C219" s="1683"/>
      <c r="D219" s="1670"/>
      <c r="E219" s="308" t="s">
        <v>303</v>
      </c>
      <c r="F219" s="225">
        <f>300000+300000+10000</f>
        <v>610000</v>
      </c>
      <c r="G219" s="225">
        <v>66000</v>
      </c>
      <c r="H219" s="226">
        <f>1000000-250000+1000000+1450000+400000</f>
        <v>3600000</v>
      </c>
      <c r="I219" s="226"/>
      <c r="J219" s="225"/>
      <c r="K219" s="225"/>
      <c r="L219" s="225"/>
      <c r="M219" s="220">
        <f t="shared" ref="M219:M220" si="138">SUM(F219:L219)</f>
        <v>4276000</v>
      </c>
      <c r="N219" s="225"/>
      <c r="O219" s="225"/>
      <c r="P219" s="225"/>
      <c r="Q219" s="225"/>
      <c r="R219" s="227">
        <f t="shared" ref="R219:R220" si="139">SUM(M219:Q219)</f>
        <v>4276000</v>
      </c>
      <c r="S219" s="107"/>
    </row>
    <row r="220" spans="1:19" ht="15.75" customHeight="1" x14ac:dyDescent="0.2">
      <c r="A220" s="228"/>
      <c r="B220" s="275"/>
      <c r="C220" s="1684"/>
      <c r="D220" s="1671"/>
      <c r="E220" s="308" t="s">
        <v>304</v>
      </c>
      <c r="F220" s="225">
        <v>609759</v>
      </c>
      <c r="G220" s="225">
        <v>0</v>
      </c>
      <c r="H220" s="226">
        <v>3590237</v>
      </c>
      <c r="I220" s="226"/>
      <c r="J220" s="225"/>
      <c r="K220" s="225"/>
      <c r="L220" s="225"/>
      <c r="M220" s="220">
        <f t="shared" si="138"/>
        <v>4199996</v>
      </c>
      <c r="N220" s="225"/>
      <c r="O220" s="225"/>
      <c r="P220" s="225"/>
      <c r="Q220" s="225"/>
      <c r="R220" s="227">
        <f t="shared" si="139"/>
        <v>4199996</v>
      </c>
      <c r="S220" s="107"/>
    </row>
    <row r="221" spans="1:19" ht="15.75" customHeight="1" x14ac:dyDescent="0.15">
      <c r="A221" s="228"/>
      <c r="B221" s="275"/>
      <c r="C221" s="1682" t="s">
        <v>10</v>
      </c>
      <c r="D221" s="1678" t="s">
        <v>54</v>
      </c>
      <c r="E221" s="514" t="s">
        <v>213</v>
      </c>
      <c r="F221" s="515"/>
      <c r="G221" s="515"/>
      <c r="H221" s="516"/>
      <c r="I221" s="516"/>
      <c r="J221" s="515"/>
      <c r="K221" s="515"/>
      <c r="L221" s="515"/>
      <c r="M221" s="517"/>
      <c r="N221" s="515"/>
      <c r="O221" s="515"/>
      <c r="P221" s="515"/>
      <c r="Q221" s="515"/>
      <c r="R221" s="518"/>
      <c r="S221" s="519"/>
    </row>
    <row r="222" spans="1:19" ht="15.75" customHeight="1" x14ac:dyDescent="0.2">
      <c r="A222" s="228"/>
      <c r="B222" s="275"/>
      <c r="C222" s="1683"/>
      <c r="D222" s="1679"/>
      <c r="E222" s="520" t="s">
        <v>302</v>
      </c>
      <c r="F222" s="515">
        <f>F226+F230+F234+F238+F242+F246</f>
        <v>116731</v>
      </c>
      <c r="G222" s="515">
        <f t="shared" ref="G222:Q222" si="140">G226+G230+G234+G238+G242+G246</f>
        <v>33269</v>
      </c>
      <c r="H222" s="515">
        <f t="shared" si="140"/>
        <v>6254400</v>
      </c>
      <c r="I222" s="515">
        <f t="shared" si="140"/>
        <v>0</v>
      </c>
      <c r="J222" s="515">
        <f t="shared" si="140"/>
        <v>0</v>
      </c>
      <c r="K222" s="515">
        <f t="shared" si="140"/>
        <v>0</v>
      </c>
      <c r="L222" s="515">
        <f t="shared" si="140"/>
        <v>0</v>
      </c>
      <c r="M222" s="515">
        <f>SUM(F222:L222)</f>
        <v>6404400</v>
      </c>
      <c r="N222" s="515">
        <f>N226+N230+N234+N238+N242+N246</f>
        <v>27514957</v>
      </c>
      <c r="O222" s="515">
        <f t="shared" si="140"/>
        <v>0</v>
      </c>
      <c r="P222" s="515">
        <f t="shared" si="140"/>
        <v>0</v>
      </c>
      <c r="Q222" s="515">
        <f t="shared" si="140"/>
        <v>0</v>
      </c>
      <c r="R222" s="518">
        <f>SUM(M222:Q222)</f>
        <v>33919357</v>
      </c>
      <c r="S222" s="519"/>
    </row>
    <row r="223" spans="1:19" ht="15.75" customHeight="1" x14ac:dyDescent="0.2">
      <c r="A223" s="272">
        <v>11</v>
      </c>
      <c r="B223" s="273"/>
      <c r="C223" s="1683"/>
      <c r="D223" s="1679"/>
      <c r="E223" s="520" t="s">
        <v>303</v>
      </c>
      <c r="F223" s="515">
        <f t="shared" ref="F223:Q224" si="141">F227+F231+F235+F239+F243+F247</f>
        <v>750617</v>
      </c>
      <c r="G223" s="515">
        <f t="shared" si="141"/>
        <v>200501</v>
      </c>
      <c r="H223" s="515">
        <f t="shared" si="141"/>
        <v>3738655</v>
      </c>
      <c r="I223" s="515">
        <f t="shared" si="141"/>
        <v>0</v>
      </c>
      <c r="J223" s="515">
        <f t="shared" si="141"/>
        <v>0</v>
      </c>
      <c r="K223" s="515">
        <f t="shared" si="141"/>
        <v>0</v>
      </c>
      <c r="L223" s="515">
        <f t="shared" si="141"/>
        <v>0</v>
      </c>
      <c r="M223" s="515">
        <f t="shared" ref="M223:M224" si="142">SUM(F223:L223)</f>
        <v>4689773</v>
      </c>
      <c r="N223" s="515">
        <f t="shared" ref="N223" si="143">N227+N231+N235+N239+N243+N247</f>
        <v>170889146.59999999</v>
      </c>
      <c r="O223" s="515">
        <f t="shared" si="141"/>
        <v>0</v>
      </c>
      <c r="P223" s="515">
        <f t="shared" si="141"/>
        <v>0</v>
      </c>
      <c r="Q223" s="515">
        <f t="shared" si="141"/>
        <v>0</v>
      </c>
      <c r="R223" s="518">
        <f t="shared" ref="R223:R224" si="144">SUM(M223:Q223)</f>
        <v>175578919.59999999</v>
      </c>
      <c r="S223" s="521"/>
    </row>
    <row r="224" spans="1:19" ht="15.75" customHeight="1" x14ac:dyDescent="0.2">
      <c r="A224" s="267"/>
      <c r="B224" s="273"/>
      <c r="C224" s="1684"/>
      <c r="D224" s="1680"/>
      <c r="E224" s="520" t="s">
        <v>304</v>
      </c>
      <c r="F224" s="515">
        <f t="shared" si="141"/>
        <v>0</v>
      </c>
      <c r="G224" s="515">
        <f t="shared" si="141"/>
        <v>0</v>
      </c>
      <c r="H224" s="515">
        <f t="shared" si="141"/>
        <v>1740000</v>
      </c>
      <c r="I224" s="515">
        <f t="shared" si="141"/>
        <v>0</v>
      </c>
      <c r="J224" s="515">
        <f t="shared" si="141"/>
        <v>0</v>
      </c>
      <c r="K224" s="515">
        <f t="shared" si="141"/>
        <v>0</v>
      </c>
      <c r="L224" s="515">
        <f t="shared" si="141"/>
        <v>0</v>
      </c>
      <c r="M224" s="515">
        <f t="shared" si="142"/>
        <v>1740000</v>
      </c>
      <c r="N224" s="515">
        <f>N228+N232+N236+N240+N244+N248</f>
        <v>11364832</v>
      </c>
      <c r="O224" s="515">
        <f t="shared" si="141"/>
        <v>0</v>
      </c>
      <c r="P224" s="515">
        <f t="shared" si="141"/>
        <v>0</v>
      </c>
      <c r="Q224" s="515">
        <f t="shared" si="141"/>
        <v>0</v>
      </c>
      <c r="R224" s="518">
        <f t="shared" si="144"/>
        <v>13104832</v>
      </c>
      <c r="S224" s="521"/>
    </row>
    <row r="225" spans="1:20" ht="15.75" customHeight="1" x14ac:dyDescent="0.2">
      <c r="A225" s="267"/>
      <c r="B225" s="273"/>
      <c r="C225" s="1682" t="s">
        <v>324</v>
      </c>
      <c r="D225" s="1669" t="s">
        <v>54</v>
      </c>
      <c r="E225" s="513" t="s">
        <v>238</v>
      </c>
      <c r="F225" s="231"/>
      <c r="G225" s="231"/>
      <c r="H225" s="231"/>
      <c r="I225" s="231"/>
      <c r="J225" s="231"/>
      <c r="K225" s="231"/>
      <c r="L225" s="231"/>
      <c r="M225" s="220"/>
      <c r="N225" s="231"/>
      <c r="O225" s="231"/>
      <c r="P225" s="231"/>
      <c r="Q225" s="231"/>
      <c r="R225" s="227"/>
      <c r="S225" s="106"/>
    </row>
    <row r="226" spans="1:20" ht="15.75" customHeight="1" x14ac:dyDescent="0.2">
      <c r="A226" s="267"/>
      <c r="B226" s="273"/>
      <c r="C226" s="1683"/>
      <c r="D226" s="1670"/>
      <c r="E226" s="308" t="s">
        <v>302</v>
      </c>
      <c r="F226" s="231">
        <v>116731</v>
      </c>
      <c r="G226" s="231">
        <v>33269</v>
      </c>
      <c r="H226" s="231">
        <v>2550000</v>
      </c>
      <c r="I226" s="231"/>
      <c r="J226" s="231"/>
      <c r="K226" s="231"/>
      <c r="L226" s="231"/>
      <c r="M226" s="220">
        <f>SUM(F226:L226)</f>
        <v>2700000</v>
      </c>
      <c r="N226" s="231">
        <v>3300000</v>
      </c>
      <c r="O226" s="231"/>
      <c r="P226" s="231"/>
      <c r="Q226" s="231"/>
      <c r="R226" s="227">
        <f>SUM(M226:Q226)</f>
        <v>6000000</v>
      </c>
      <c r="S226" s="106"/>
    </row>
    <row r="227" spans="1:20" ht="15.75" customHeight="1" x14ac:dyDescent="0.2">
      <c r="A227" s="274"/>
      <c r="B227" s="236">
        <v>1</v>
      </c>
      <c r="C227" s="1683"/>
      <c r="D227" s="1670"/>
      <c r="E227" s="308" t="s">
        <v>303</v>
      </c>
      <c r="F227" s="231">
        <v>116731</v>
      </c>
      <c r="G227" s="231">
        <v>33269</v>
      </c>
      <c r="H227" s="232">
        <v>2550000</v>
      </c>
      <c r="I227" s="232"/>
      <c r="J227" s="231"/>
      <c r="K227" s="231"/>
      <c r="L227" s="231"/>
      <c r="M227" s="220">
        <f t="shared" ref="M227:M228" si="145">SUM(F227:L227)</f>
        <v>2700000</v>
      </c>
      <c r="N227" s="231">
        <f>'6 beruházások'!E47</f>
        <v>3300000</v>
      </c>
      <c r="O227" s="231"/>
      <c r="P227" s="231"/>
      <c r="Q227" s="231"/>
      <c r="R227" s="227">
        <f>SUM(M227:Q227)</f>
        <v>6000000</v>
      </c>
      <c r="S227" s="106"/>
      <c r="T227" s="76"/>
    </row>
    <row r="228" spans="1:20" ht="15.75" customHeight="1" x14ac:dyDescent="0.2">
      <c r="A228" s="553"/>
      <c r="B228" s="275"/>
      <c r="C228" s="1684"/>
      <c r="D228" s="1671"/>
      <c r="E228" s="308" t="s">
        <v>304</v>
      </c>
      <c r="F228" s="231">
        <v>0</v>
      </c>
      <c r="G228" s="231">
        <v>0</v>
      </c>
      <c r="H228" s="232">
        <f>780000+960000</f>
        <v>1740000</v>
      </c>
      <c r="I228" s="232"/>
      <c r="J228" s="231"/>
      <c r="K228" s="231"/>
      <c r="L228" s="231"/>
      <c r="M228" s="220">
        <f t="shared" si="145"/>
        <v>1740000</v>
      </c>
      <c r="N228" s="231">
        <f>'6 beruházások'!F47</f>
        <v>3300000</v>
      </c>
      <c r="O228" s="231"/>
      <c r="P228" s="231"/>
      <c r="Q228" s="231"/>
      <c r="R228" s="227">
        <f>SUM(M228:Q228)</f>
        <v>5040000</v>
      </c>
      <c r="S228" s="106"/>
      <c r="T228" s="76"/>
    </row>
    <row r="229" spans="1:20" ht="15.75" customHeight="1" x14ac:dyDescent="0.2">
      <c r="A229" s="553"/>
      <c r="B229" s="275"/>
      <c r="C229" s="1682" t="s">
        <v>325</v>
      </c>
      <c r="D229" s="1669" t="s">
        <v>54</v>
      </c>
      <c r="E229" s="510" t="s">
        <v>239</v>
      </c>
      <c r="F229" s="231"/>
      <c r="G229" s="231"/>
      <c r="H229" s="232"/>
      <c r="I229" s="232"/>
      <c r="J229" s="231"/>
      <c r="K229" s="231"/>
      <c r="L229" s="231"/>
      <c r="M229" s="220"/>
      <c r="N229" s="231"/>
      <c r="O229" s="231"/>
      <c r="P229" s="231"/>
      <c r="Q229" s="231"/>
      <c r="R229" s="227"/>
      <c r="S229" s="106"/>
      <c r="T229" s="76"/>
    </row>
    <row r="230" spans="1:20" ht="15.75" customHeight="1" x14ac:dyDescent="0.2">
      <c r="A230" s="553"/>
      <c r="B230" s="275"/>
      <c r="C230" s="1683"/>
      <c r="D230" s="1670"/>
      <c r="E230" s="308" t="s">
        <v>302</v>
      </c>
      <c r="F230" s="231"/>
      <c r="G230" s="231"/>
      <c r="H230" s="232">
        <v>1054100</v>
      </c>
      <c r="I230" s="232"/>
      <c r="J230" s="231"/>
      <c r="K230" s="231"/>
      <c r="L230" s="231"/>
      <c r="M230" s="220">
        <f>SUM(F230:L230)</f>
        <v>1054100</v>
      </c>
      <c r="N230" s="231">
        <v>5326183</v>
      </c>
      <c r="O230" s="231"/>
      <c r="P230" s="231"/>
      <c r="Q230" s="231"/>
      <c r="R230" s="227">
        <f>SUM(M230:Q230)</f>
        <v>6380283</v>
      </c>
      <c r="S230" s="106"/>
      <c r="T230" s="76"/>
    </row>
    <row r="231" spans="1:20" ht="15.75" customHeight="1" x14ac:dyDescent="0.2">
      <c r="A231" s="553"/>
      <c r="B231" s="275">
        <f>B227+1</f>
        <v>2</v>
      </c>
      <c r="C231" s="1683"/>
      <c r="D231" s="1670"/>
      <c r="E231" s="308" t="s">
        <v>303</v>
      </c>
      <c r="F231" s="231">
        <v>426094</v>
      </c>
      <c r="G231" s="231">
        <v>106524</v>
      </c>
      <c r="H231" s="232">
        <v>300000</v>
      </c>
      <c r="I231" s="232"/>
      <c r="J231" s="231"/>
      <c r="K231" s="231"/>
      <c r="L231" s="231"/>
      <c r="M231" s="220">
        <f t="shared" ref="M231:M232" si="146">SUM(F231:L231)</f>
        <v>832618</v>
      </c>
      <c r="N231" s="231">
        <f>'6 beruházások'!E67</f>
        <v>97995223</v>
      </c>
      <c r="O231" s="231"/>
      <c r="P231" s="231"/>
      <c r="Q231" s="231"/>
      <c r="R231" s="227">
        <f t="shared" ref="R231:R241" si="147">SUM(M231:Q231)</f>
        <v>98827841</v>
      </c>
      <c r="S231" s="106"/>
    </row>
    <row r="232" spans="1:20" ht="15.75" customHeight="1" x14ac:dyDescent="0.2">
      <c r="A232" s="553"/>
      <c r="B232" s="275"/>
      <c r="C232" s="1684"/>
      <c r="D232" s="1671"/>
      <c r="E232" s="308" t="s">
        <v>304</v>
      </c>
      <c r="F232" s="511">
        <v>0</v>
      </c>
      <c r="G232" s="512">
        <v>0</v>
      </c>
      <c r="H232" s="232">
        <v>0</v>
      </c>
      <c r="I232" s="232"/>
      <c r="J232" s="231"/>
      <c r="K232" s="231"/>
      <c r="L232" s="231"/>
      <c r="M232" s="220">
        <f t="shared" si="146"/>
        <v>0</v>
      </c>
      <c r="N232" s="231">
        <f>'6 beruházások'!F67</f>
        <v>2663091</v>
      </c>
      <c r="O232" s="231"/>
      <c r="P232" s="231"/>
      <c r="Q232" s="231"/>
      <c r="R232" s="227">
        <f t="shared" si="147"/>
        <v>2663091</v>
      </c>
      <c r="S232" s="106"/>
    </row>
    <row r="233" spans="1:20" ht="15.75" customHeight="1" x14ac:dyDescent="0.2">
      <c r="A233" s="553"/>
      <c r="B233" s="275"/>
      <c r="C233" s="1682" t="s">
        <v>326</v>
      </c>
      <c r="D233" s="1669" t="s">
        <v>54</v>
      </c>
      <c r="E233" s="510" t="s">
        <v>240</v>
      </c>
      <c r="F233" s="231"/>
      <c r="G233" s="231"/>
      <c r="H233" s="232"/>
      <c r="I233" s="232"/>
      <c r="J233" s="231"/>
      <c r="K233" s="231"/>
      <c r="L233" s="231"/>
      <c r="M233" s="220"/>
      <c r="N233" s="231"/>
      <c r="O233" s="231"/>
      <c r="P233" s="231"/>
      <c r="Q233" s="231"/>
      <c r="R233" s="227"/>
      <c r="S233" s="106"/>
    </row>
    <row r="234" spans="1:20" ht="15.75" customHeight="1" x14ac:dyDescent="0.2">
      <c r="A234" s="553"/>
      <c r="B234" s="275"/>
      <c r="C234" s="1683"/>
      <c r="D234" s="1670"/>
      <c r="E234" s="308" t="s">
        <v>302</v>
      </c>
      <c r="F234" s="231"/>
      <c r="G234" s="231"/>
      <c r="H234" s="232">
        <v>1422400</v>
      </c>
      <c r="I234" s="232"/>
      <c r="J234" s="231"/>
      <c r="K234" s="231"/>
      <c r="L234" s="231"/>
      <c r="M234" s="220">
        <f>SUM(F234:L234)</f>
        <v>1422400</v>
      </c>
      <c r="N234" s="231">
        <v>6195416</v>
      </c>
      <c r="O234" s="231"/>
      <c r="P234" s="231"/>
      <c r="Q234" s="231"/>
      <c r="R234" s="227">
        <f t="shared" si="147"/>
        <v>7617816</v>
      </c>
      <c r="S234" s="106"/>
    </row>
    <row r="235" spans="1:20" ht="15.75" customHeight="1" x14ac:dyDescent="0.2">
      <c r="A235" s="553"/>
      <c r="B235" s="275">
        <f>B231+1</f>
        <v>3</v>
      </c>
      <c r="C235" s="1683"/>
      <c r="D235" s="1670"/>
      <c r="E235" s="308" t="s">
        <v>303</v>
      </c>
      <c r="F235" s="231"/>
      <c r="G235" s="231"/>
      <c r="H235" s="232">
        <v>0</v>
      </c>
      <c r="I235" s="232"/>
      <c r="J235" s="231"/>
      <c r="K235" s="231"/>
      <c r="L235" s="231"/>
      <c r="M235" s="220">
        <f t="shared" ref="M235:M236" si="148">SUM(F235:L235)</f>
        <v>0</v>
      </c>
      <c r="N235" s="231">
        <f>'6 beruházások'!E54</f>
        <v>6195415.5999999996</v>
      </c>
      <c r="O235" s="231"/>
      <c r="P235" s="231"/>
      <c r="Q235" s="231"/>
      <c r="R235" s="227">
        <f t="shared" si="147"/>
        <v>6195415.5999999996</v>
      </c>
      <c r="S235" s="106"/>
    </row>
    <row r="236" spans="1:20" ht="15.75" customHeight="1" x14ac:dyDescent="0.2">
      <c r="A236" s="553"/>
      <c r="B236" s="275"/>
      <c r="C236" s="1684"/>
      <c r="D236" s="1671"/>
      <c r="E236" s="308" t="s">
        <v>304</v>
      </c>
      <c r="F236" s="231"/>
      <c r="G236" s="231"/>
      <c r="H236" s="232">
        <v>0</v>
      </c>
      <c r="I236" s="232"/>
      <c r="J236" s="231"/>
      <c r="K236" s="231"/>
      <c r="L236" s="231"/>
      <c r="M236" s="220">
        <f t="shared" si="148"/>
        <v>0</v>
      </c>
      <c r="N236" s="231">
        <f>'6 beruházások'!F55</f>
        <v>2663091</v>
      </c>
      <c r="O236" s="231"/>
      <c r="P236" s="231"/>
      <c r="Q236" s="231"/>
      <c r="R236" s="227">
        <f t="shared" si="147"/>
        <v>2663091</v>
      </c>
      <c r="S236" s="106"/>
    </row>
    <row r="237" spans="1:20" ht="15.75" customHeight="1" x14ac:dyDescent="0.2">
      <c r="A237" s="553"/>
      <c r="B237" s="275"/>
      <c r="C237" s="1682" t="s">
        <v>327</v>
      </c>
      <c r="D237" s="1669" t="s">
        <v>54</v>
      </c>
      <c r="E237" s="509" t="s">
        <v>241</v>
      </c>
      <c r="F237" s="231"/>
      <c r="G237" s="231"/>
      <c r="H237" s="232"/>
      <c r="I237" s="232"/>
      <c r="J237" s="231"/>
      <c r="K237" s="231"/>
      <c r="L237" s="231"/>
      <c r="M237" s="220"/>
      <c r="N237" s="231"/>
      <c r="O237" s="231"/>
      <c r="P237" s="231"/>
      <c r="Q237" s="231"/>
      <c r="R237" s="227"/>
      <c r="S237" s="106"/>
    </row>
    <row r="238" spans="1:20" ht="15.75" customHeight="1" x14ac:dyDescent="0.2">
      <c r="A238" s="553"/>
      <c r="B238" s="275"/>
      <c r="C238" s="1683"/>
      <c r="D238" s="1670"/>
      <c r="E238" s="308" t="s">
        <v>302</v>
      </c>
      <c r="F238" s="231">
        <v>0</v>
      </c>
      <c r="G238" s="231">
        <v>0</v>
      </c>
      <c r="H238" s="232">
        <v>533400</v>
      </c>
      <c r="I238" s="232"/>
      <c r="J238" s="231"/>
      <c r="K238" s="231"/>
      <c r="L238" s="231"/>
      <c r="M238" s="220"/>
      <c r="N238" s="231">
        <v>0</v>
      </c>
      <c r="O238" s="231"/>
      <c r="P238" s="231"/>
      <c r="Q238" s="231"/>
      <c r="R238" s="227">
        <f t="shared" si="147"/>
        <v>0</v>
      </c>
      <c r="S238" s="106"/>
    </row>
    <row r="239" spans="1:20" ht="15.75" customHeight="1" x14ac:dyDescent="0.2">
      <c r="A239" s="553"/>
      <c r="B239" s="275">
        <f>B235+1</f>
        <v>4</v>
      </c>
      <c r="C239" s="1683"/>
      <c r="D239" s="1670"/>
      <c r="E239" s="308" t="s">
        <v>303</v>
      </c>
      <c r="F239" s="231">
        <v>207792</v>
      </c>
      <c r="G239" s="231">
        <v>60708</v>
      </c>
      <c r="H239" s="232">
        <v>638655</v>
      </c>
      <c r="I239" s="232"/>
      <c r="J239" s="231"/>
      <c r="K239" s="231"/>
      <c r="L239" s="231"/>
      <c r="M239" s="220">
        <f t="shared" ref="M239:M260" si="149">SUM(F239:L239)</f>
        <v>907155</v>
      </c>
      <c r="N239" s="231">
        <f>'6 beruházások'!E66+'6 beruházások'!E57</f>
        <v>50076500</v>
      </c>
      <c r="O239" s="231"/>
      <c r="P239" s="231"/>
      <c r="Q239" s="231"/>
      <c r="R239" s="227">
        <f t="shared" si="147"/>
        <v>50983655</v>
      </c>
      <c r="S239" s="106"/>
    </row>
    <row r="240" spans="1:20" ht="15.75" customHeight="1" x14ac:dyDescent="0.2">
      <c r="A240" s="553"/>
      <c r="B240" s="275"/>
      <c r="C240" s="1684"/>
      <c r="D240" s="1671"/>
      <c r="E240" s="308" t="s">
        <v>304</v>
      </c>
      <c r="F240" s="231">
        <v>0</v>
      </c>
      <c r="G240" s="231">
        <v>0</v>
      </c>
      <c r="H240" s="232">
        <v>0</v>
      </c>
      <c r="I240" s="232"/>
      <c r="J240" s="231"/>
      <c r="K240" s="231"/>
      <c r="L240" s="231"/>
      <c r="M240" s="220"/>
      <c r="N240" s="231">
        <f>'6 beruházások'!F66</f>
        <v>2110000</v>
      </c>
      <c r="O240" s="231"/>
      <c r="P240" s="231"/>
      <c r="Q240" s="231"/>
      <c r="R240" s="227">
        <f t="shared" si="147"/>
        <v>2110000</v>
      </c>
      <c r="S240" s="106"/>
    </row>
    <row r="241" spans="1:19" ht="15.75" customHeight="1" x14ac:dyDescent="0.2">
      <c r="A241" s="553"/>
      <c r="B241" s="275"/>
      <c r="C241" s="1682" t="s">
        <v>328</v>
      </c>
      <c r="D241" s="1669" t="s">
        <v>54</v>
      </c>
      <c r="E241" s="510" t="s">
        <v>242</v>
      </c>
      <c r="F241" s="231"/>
      <c r="G241" s="231"/>
      <c r="H241" s="232"/>
      <c r="I241" s="232"/>
      <c r="J241" s="231"/>
      <c r="K241" s="231"/>
      <c r="L241" s="231"/>
      <c r="M241" s="220"/>
      <c r="N241" s="231"/>
      <c r="O241" s="231"/>
      <c r="P241" s="231"/>
      <c r="Q241" s="231"/>
      <c r="R241" s="227">
        <f t="shared" si="147"/>
        <v>0</v>
      </c>
      <c r="S241" s="106"/>
    </row>
    <row r="242" spans="1:19" ht="15.75" customHeight="1" x14ac:dyDescent="0.2">
      <c r="A242" s="553"/>
      <c r="B242" s="275"/>
      <c r="C242" s="1683"/>
      <c r="D242" s="1670"/>
      <c r="E242" s="308" t="s">
        <v>302</v>
      </c>
      <c r="F242" s="231"/>
      <c r="G242" s="231"/>
      <c r="H242" s="232">
        <v>444500</v>
      </c>
      <c r="I242" s="232"/>
      <c r="J242" s="231"/>
      <c r="K242" s="231"/>
      <c r="L242" s="231"/>
      <c r="M242" s="220">
        <f>SUM(F242:L242)</f>
        <v>444500</v>
      </c>
      <c r="N242" s="231">
        <f>'6 beruházások'!D60</f>
        <v>12693358</v>
      </c>
      <c r="O242" s="231"/>
      <c r="P242" s="231"/>
      <c r="Q242" s="231"/>
      <c r="R242" s="227">
        <f>SUM(M242:Q242)</f>
        <v>13137858</v>
      </c>
      <c r="S242" s="106"/>
    </row>
    <row r="243" spans="1:19" ht="15.75" customHeight="1" x14ac:dyDescent="0.2">
      <c r="A243" s="553"/>
      <c r="B243" s="275">
        <f>B239+1</f>
        <v>5</v>
      </c>
      <c r="C243" s="1683"/>
      <c r="D243" s="1670"/>
      <c r="E243" s="308" t="s">
        <v>303</v>
      </c>
      <c r="F243" s="231"/>
      <c r="G243" s="231"/>
      <c r="H243" s="232">
        <v>0</v>
      </c>
      <c r="I243" s="232"/>
      <c r="J243" s="231"/>
      <c r="K243" s="231"/>
      <c r="L243" s="231"/>
      <c r="M243" s="220">
        <f t="shared" ref="M243:M244" si="150">SUM(F243:L243)</f>
        <v>0</v>
      </c>
      <c r="N243" s="231">
        <f>'6 beruházások'!E60</f>
        <v>13322008</v>
      </c>
      <c r="O243" s="231"/>
      <c r="P243" s="231"/>
      <c r="Q243" s="231"/>
      <c r="R243" s="227">
        <f t="shared" ref="R243:R244" si="151">SUM(M243:Q243)</f>
        <v>13322008</v>
      </c>
      <c r="S243" s="106"/>
    </row>
    <row r="244" spans="1:19" ht="15.75" customHeight="1" x14ac:dyDescent="0.2">
      <c r="A244" s="553"/>
      <c r="B244" s="275"/>
      <c r="C244" s="1684"/>
      <c r="D244" s="1671"/>
      <c r="E244" s="308" t="s">
        <v>304</v>
      </c>
      <c r="F244" s="231"/>
      <c r="G244" s="231"/>
      <c r="H244" s="232">
        <v>0</v>
      </c>
      <c r="I244" s="232"/>
      <c r="J244" s="231"/>
      <c r="K244" s="231"/>
      <c r="L244" s="231"/>
      <c r="M244" s="220">
        <f t="shared" si="150"/>
        <v>0</v>
      </c>
      <c r="N244" s="231">
        <f>'6 beruházások'!F60</f>
        <v>628650</v>
      </c>
      <c r="O244" s="231"/>
      <c r="P244" s="231"/>
      <c r="Q244" s="231"/>
      <c r="R244" s="227">
        <f t="shared" si="151"/>
        <v>628650</v>
      </c>
      <c r="S244" s="106"/>
    </row>
    <row r="245" spans="1:19" ht="15.75" customHeight="1" x14ac:dyDescent="0.2">
      <c r="A245" s="553"/>
      <c r="B245" s="275"/>
      <c r="C245" s="1682" t="s">
        <v>329</v>
      </c>
      <c r="D245" s="1669" t="s">
        <v>54</v>
      </c>
      <c r="E245" s="510" t="s">
        <v>243</v>
      </c>
      <c r="F245" s="231"/>
      <c r="G245" s="231"/>
      <c r="H245" s="232"/>
      <c r="I245" s="232"/>
      <c r="J245" s="231"/>
      <c r="K245" s="231"/>
      <c r="L245" s="231"/>
      <c r="M245" s="220"/>
      <c r="N245" s="231"/>
      <c r="O245" s="231"/>
      <c r="P245" s="231"/>
      <c r="Q245" s="231"/>
      <c r="R245" s="227"/>
      <c r="S245" s="106"/>
    </row>
    <row r="246" spans="1:19" ht="15.75" customHeight="1" x14ac:dyDescent="0.2">
      <c r="A246" s="553"/>
      <c r="B246" s="275"/>
      <c r="C246" s="1683"/>
      <c r="D246" s="1670"/>
      <c r="E246" s="308" t="s">
        <v>302</v>
      </c>
      <c r="F246" s="231"/>
      <c r="G246" s="231"/>
      <c r="H246" s="232">
        <v>250000</v>
      </c>
      <c r="I246" s="232"/>
      <c r="J246" s="231"/>
      <c r="K246" s="231"/>
      <c r="L246" s="231"/>
      <c r="M246" s="220">
        <f>SUM(F246:L246)</f>
        <v>250000</v>
      </c>
      <c r="N246" s="231"/>
      <c r="O246" s="231"/>
      <c r="P246" s="231"/>
      <c r="Q246" s="231"/>
      <c r="R246" s="227">
        <f>SUM(M246:Q246)</f>
        <v>250000</v>
      </c>
      <c r="S246" s="106"/>
    </row>
    <row r="247" spans="1:19" ht="15.75" customHeight="1" x14ac:dyDescent="0.2">
      <c r="A247" s="553"/>
      <c r="B247" s="275">
        <f t="shared" ref="B247" si="152">B243+1</f>
        <v>6</v>
      </c>
      <c r="C247" s="1683"/>
      <c r="D247" s="1670"/>
      <c r="E247" s="308" t="s">
        <v>303</v>
      </c>
      <c r="F247" s="231"/>
      <c r="G247" s="231"/>
      <c r="H247" s="232">
        <v>250000</v>
      </c>
      <c r="I247" s="232"/>
      <c r="J247" s="231"/>
      <c r="K247" s="231"/>
      <c r="L247" s="231"/>
      <c r="M247" s="220">
        <f t="shared" ref="M247:M248" si="153">SUM(F247:L247)</f>
        <v>250000</v>
      </c>
      <c r="N247" s="231"/>
      <c r="O247" s="231"/>
      <c r="P247" s="231"/>
      <c r="Q247" s="231"/>
      <c r="R247" s="227">
        <f>SUM(M247:Q247)</f>
        <v>250000</v>
      </c>
      <c r="S247" s="106"/>
    </row>
    <row r="248" spans="1:19" ht="15.75" customHeight="1" x14ac:dyDescent="0.2">
      <c r="A248" s="553"/>
      <c r="B248" s="336"/>
      <c r="C248" s="1683"/>
      <c r="D248" s="1670"/>
      <c r="E248" s="307" t="s">
        <v>304</v>
      </c>
      <c r="F248" s="463"/>
      <c r="G248" s="463"/>
      <c r="H248" s="469">
        <v>0</v>
      </c>
      <c r="I248" s="469"/>
      <c r="J248" s="463"/>
      <c r="K248" s="463"/>
      <c r="L248" s="463"/>
      <c r="M248" s="220">
        <f t="shared" si="153"/>
        <v>0</v>
      </c>
      <c r="N248" s="463"/>
      <c r="O248" s="463"/>
      <c r="P248" s="463"/>
      <c r="Q248" s="463"/>
      <c r="R248" s="284">
        <v>0</v>
      </c>
      <c r="S248" s="108"/>
    </row>
    <row r="249" spans="1:19" ht="26.25" customHeight="1" x14ac:dyDescent="0.15">
      <c r="A249" s="553"/>
      <c r="B249" s="336"/>
      <c r="C249" s="1758" t="s">
        <v>323</v>
      </c>
      <c r="D249" s="1672"/>
      <c r="E249" s="500" t="s">
        <v>233</v>
      </c>
      <c r="F249" s="501"/>
      <c r="G249" s="501"/>
      <c r="H249" s="502"/>
      <c r="I249" s="502"/>
      <c r="J249" s="501"/>
      <c r="K249" s="501"/>
      <c r="L249" s="501"/>
      <c r="M249" s="501"/>
      <c r="N249" s="501"/>
      <c r="O249" s="501"/>
      <c r="P249" s="501"/>
      <c r="Q249" s="501"/>
      <c r="R249" s="502"/>
      <c r="S249" s="503"/>
    </row>
    <row r="250" spans="1:19" ht="15.75" customHeight="1" thickBot="1" x14ac:dyDescent="0.25">
      <c r="A250" s="553"/>
      <c r="B250" s="336"/>
      <c r="C250" s="1759"/>
      <c r="D250" s="1673"/>
      <c r="E250" s="507" t="s">
        <v>302</v>
      </c>
      <c r="F250" s="501">
        <f>F254+F258</f>
        <v>3705152</v>
      </c>
      <c r="G250" s="501">
        <f t="shared" ref="G250:L250" si="154">G254+G258</f>
        <v>815133</v>
      </c>
      <c r="H250" s="501">
        <f t="shared" si="154"/>
        <v>1641094</v>
      </c>
      <c r="I250" s="501">
        <f t="shared" si="154"/>
        <v>2600000</v>
      </c>
      <c r="J250" s="501">
        <f t="shared" si="154"/>
        <v>750000</v>
      </c>
      <c r="K250" s="501">
        <f t="shared" si="154"/>
        <v>0</v>
      </c>
      <c r="L250" s="501">
        <f t="shared" si="154"/>
        <v>0</v>
      </c>
      <c r="M250" s="501">
        <f>SUM(F250:L250)</f>
        <v>9511379</v>
      </c>
      <c r="N250" s="501">
        <f>N254+N258</f>
        <v>0</v>
      </c>
      <c r="O250" s="501">
        <f t="shared" ref="O250:Q250" si="155">O254+O258</f>
        <v>0</v>
      </c>
      <c r="P250" s="501">
        <f t="shared" si="155"/>
        <v>0</v>
      </c>
      <c r="Q250" s="501">
        <f t="shared" si="155"/>
        <v>0</v>
      </c>
      <c r="R250" s="502">
        <f>SUM(M250:Q250)</f>
        <v>9511379</v>
      </c>
      <c r="S250" s="503">
        <v>1.5</v>
      </c>
    </row>
    <row r="251" spans="1:19" ht="15.75" customHeight="1" x14ac:dyDescent="0.2">
      <c r="A251" s="276">
        <v>12</v>
      </c>
      <c r="B251" s="277"/>
      <c r="C251" s="1759"/>
      <c r="D251" s="1673"/>
      <c r="E251" s="507" t="s">
        <v>303</v>
      </c>
      <c r="F251" s="501">
        <f t="shared" ref="F251:L252" si="156">F255+F259</f>
        <v>3910352</v>
      </c>
      <c r="G251" s="501">
        <f t="shared" si="156"/>
        <v>907473.44000000006</v>
      </c>
      <c r="H251" s="501">
        <f t="shared" si="156"/>
        <v>5641730</v>
      </c>
      <c r="I251" s="501">
        <f t="shared" si="156"/>
        <v>2600000</v>
      </c>
      <c r="J251" s="501">
        <f t="shared" si="156"/>
        <v>812500</v>
      </c>
      <c r="K251" s="501">
        <f t="shared" si="156"/>
        <v>340000</v>
      </c>
      <c r="L251" s="501">
        <f t="shared" si="156"/>
        <v>0</v>
      </c>
      <c r="M251" s="501">
        <f t="shared" ref="M251:M252" si="157">SUM(F251:L251)</f>
        <v>14212055.440000001</v>
      </c>
      <c r="N251" s="501">
        <f t="shared" ref="N251:Q252" si="158">N255+N259</f>
        <v>400000</v>
      </c>
      <c r="O251" s="501">
        <f t="shared" si="158"/>
        <v>0</v>
      </c>
      <c r="P251" s="501">
        <f t="shared" si="158"/>
        <v>0</v>
      </c>
      <c r="Q251" s="501">
        <f t="shared" si="158"/>
        <v>0</v>
      </c>
      <c r="R251" s="502">
        <f t="shared" ref="R251:R252" si="159">SUM(M251:Q251)</f>
        <v>14612055.440000001</v>
      </c>
      <c r="S251" s="503">
        <f>S283</f>
        <v>1.5</v>
      </c>
    </row>
    <row r="252" spans="1:19" ht="15.75" customHeight="1" x14ac:dyDescent="0.2">
      <c r="A252" s="278"/>
      <c r="B252" s="279"/>
      <c r="C252" s="1759"/>
      <c r="D252" s="1674"/>
      <c r="E252" s="507" t="s">
        <v>304</v>
      </c>
      <c r="F252" s="501">
        <f t="shared" si="156"/>
        <v>3677383</v>
      </c>
      <c r="G252" s="501">
        <f t="shared" si="156"/>
        <v>905258</v>
      </c>
      <c r="H252" s="501">
        <f>H256+H260</f>
        <v>5438503</v>
      </c>
      <c r="I252" s="501">
        <f t="shared" si="156"/>
        <v>2374931</v>
      </c>
      <c r="J252" s="501">
        <f t="shared" si="156"/>
        <v>812500</v>
      </c>
      <c r="K252" s="501">
        <f t="shared" si="156"/>
        <v>340000</v>
      </c>
      <c r="L252" s="501">
        <f t="shared" si="156"/>
        <v>0</v>
      </c>
      <c r="M252" s="501">
        <f t="shared" si="157"/>
        <v>13548575</v>
      </c>
      <c r="N252" s="501">
        <f t="shared" si="158"/>
        <v>370205</v>
      </c>
      <c r="O252" s="501">
        <f t="shared" si="158"/>
        <v>0</v>
      </c>
      <c r="P252" s="501">
        <f t="shared" si="158"/>
        <v>0</v>
      </c>
      <c r="Q252" s="501">
        <f t="shared" si="158"/>
        <v>0</v>
      </c>
      <c r="R252" s="502">
        <f t="shared" si="159"/>
        <v>13918780</v>
      </c>
      <c r="S252" s="504">
        <v>1.5</v>
      </c>
    </row>
    <row r="253" spans="1:19" ht="15.75" customHeight="1" x14ac:dyDescent="0.2">
      <c r="A253" s="278"/>
      <c r="B253" s="279"/>
      <c r="C253" s="1759"/>
      <c r="D253" s="1672" t="s">
        <v>54</v>
      </c>
      <c r="E253" s="508" t="s">
        <v>65</v>
      </c>
      <c r="F253" s="501"/>
      <c r="G253" s="501"/>
      <c r="H253" s="501"/>
      <c r="I253" s="501"/>
      <c r="J253" s="501"/>
      <c r="K253" s="501"/>
      <c r="L253" s="501"/>
      <c r="M253" s="501"/>
      <c r="N253" s="501"/>
      <c r="O253" s="501"/>
      <c r="P253" s="501"/>
      <c r="Q253" s="501"/>
      <c r="R253" s="502"/>
      <c r="S253" s="504"/>
    </row>
    <row r="254" spans="1:19" ht="15.75" customHeight="1" x14ac:dyDescent="0.2">
      <c r="A254" s="278"/>
      <c r="B254" s="279"/>
      <c r="C254" s="1759"/>
      <c r="D254" s="1673"/>
      <c r="E254" s="507" t="s">
        <v>302</v>
      </c>
      <c r="F254" s="501">
        <f>F266+F278+F282+F286+F290</f>
        <v>3705152</v>
      </c>
      <c r="G254" s="501">
        <f t="shared" ref="G254:L254" si="160">G266+G278+G282+G286+G290</f>
        <v>815133</v>
      </c>
      <c r="H254" s="501">
        <f>H266+H278+H282+H286+H290</f>
        <v>1641094</v>
      </c>
      <c r="I254" s="501">
        <f t="shared" si="160"/>
        <v>2100000</v>
      </c>
      <c r="J254" s="501">
        <f t="shared" si="160"/>
        <v>750000</v>
      </c>
      <c r="K254" s="501">
        <f t="shared" si="160"/>
        <v>0</v>
      </c>
      <c r="L254" s="501">
        <f t="shared" si="160"/>
        <v>0</v>
      </c>
      <c r="M254" s="501">
        <f>SUM(F254:L254)</f>
        <v>9011379</v>
      </c>
      <c r="N254" s="501">
        <f>N266+N278+N282+N286+N290</f>
        <v>0</v>
      </c>
      <c r="O254" s="501">
        <f t="shared" ref="O254:Q254" si="161">O266+O278+O282+O286+O290</f>
        <v>0</v>
      </c>
      <c r="P254" s="501">
        <f t="shared" si="161"/>
        <v>0</v>
      </c>
      <c r="Q254" s="501">
        <f t="shared" si="161"/>
        <v>0</v>
      </c>
      <c r="R254" s="502">
        <f>SUM(M254:Q254)</f>
        <v>9011379</v>
      </c>
      <c r="S254" s="504">
        <v>1.5</v>
      </c>
    </row>
    <row r="255" spans="1:19" ht="15.75" customHeight="1" x14ac:dyDescent="0.2">
      <c r="A255" s="278"/>
      <c r="B255" s="279"/>
      <c r="C255" s="1759"/>
      <c r="D255" s="1673"/>
      <c r="E255" s="507" t="s">
        <v>303</v>
      </c>
      <c r="F255" s="501">
        <f t="shared" ref="F255:L256" si="162">F267+F279+F283+F287+F291</f>
        <v>3910352</v>
      </c>
      <c r="G255" s="501">
        <f t="shared" si="162"/>
        <v>907473.44000000006</v>
      </c>
      <c r="H255" s="501">
        <f t="shared" si="162"/>
        <v>1650000</v>
      </c>
      <c r="I255" s="501">
        <f t="shared" si="162"/>
        <v>1760000</v>
      </c>
      <c r="J255" s="501">
        <f t="shared" si="162"/>
        <v>812500</v>
      </c>
      <c r="K255" s="501">
        <f t="shared" si="162"/>
        <v>0</v>
      </c>
      <c r="L255" s="501">
        <f t="shared" si="162"/>
        <v>0</v>
      </c>
      <c r="M255" s="501">
        <f t="shared" ref="M255:M256" si="163">SUM(F255:L255)</f>
        <v>9040325.4400000013</v>
      </c>
      <c r="N255" s="501">
        <f t="shared" ref="N255:Q256" si="164">N267+N279+N283+N287+N291</f>
        <v>400000</v>
      </c>
      <c r="O255" s="501">
        <f t="shared" si="164"/>
        <v>0</v>
      </c>
      <c r="P255" s="501">
        <f t="shared" si="164"/>
        <v>0</v>
      </c>
      <c r="Q255" s="501">
        <f t="shared" si="164"/>
        <v>0</v>
      </c>
      <c r="R255" s="502">
        <f t="shared" ref="R255:R260" si="165">SUM(M255:Q255)</f>
        <v>9440325.4400000013</v>
      </c>
      <c r="S255" s="504">
        <v>1.5</v>
      </c>
    </row>
    <row r="256" spans="1:19" ht="15.75" customHeight="1" x14ac:dyDescent="0.2">
      <c r="A256" s="278"/>
      <c r="B256" s="279"/>
      <c r="C256" s="1759"/>
      <c r="D256" s="1674"/>
      <c r="E256" s="507" t="s">
        <v>304</v>
      </c>
      <c r="F256" s="501">
        <f t="shared" si="162"/>
        <v>3677383</v>
      </c>
      <c r="G256" s="501">
        <f t="shared" si="162"/>
        <v>905258</v>
      </c>
      <c r="H256" s="501">
        <f>H268+H280+H284+H288+H292</f>
        <v>1446773</v>
      </c>
      <c r="I256" s="501">
        <f t="shared" si="162"/>
        <v>1535341</v>
      </c>
      <c r="J256" s="501">
        <f t="shared" si="162"/>
        <v>812500</v>
      </c>
      <c r="K256" s="501">
        <f t="shared" si="162"/>
        <v>0</v>
      </c>
      <c r="L256" s="501">
        <f t="shared" si="162"/>
        <v>0</v>
      </c>
      <c r="M256" s="501">
        <f t="shared" si="163"/>
        <v>8377255</v>
      </c>
      <c r="N256" s="501">
        <f t="shared" si="164"/>
        <v>370205</v>
      </c>
      <c r="O256" s="501">
        <f t="shared" si="164"/>
        <v>0</v>
      </c>
      <c r="P256" s="501">
        <f t="shared" si="164"/>
        <v>0</v>
      </c>
      <c r="Q256" s="501">
        <f t="shared" si="164"/>
        <v>0</v>
      </c>
      <c r="R256" s="502">
        <f t="shared" si="165"/>
        <v>8747460</v>
      </c>
      <c r="S256" s="504">
        <v>1.5</v>
      </c>
    </row>
    <row r="257" spans="1:19" ht="15.75" customHeight="1" x14ac:dyDescent="0.2">
      <c r="A257" s="278"/>
      <c r="B257" s="279"/>
      <c r="C257" s="1759"/>
      <c r="D257" s="1672" t="s">
        <v>55</v>
      </c>
      <c r="E257" s="508" t="s">
        <v>66</v>
      </c>
      <c r="F257" s="501"/>
      <c r="G257" s="501"/>
      <c r="H257" s="501"/>
      <c r="I257" s="501"/>
      <c r="J257" s="501"/>
      <c r="K257" s="501"/>
      <c r="L257" s="501"/>
      <c r="M257" s="501"/>
      <c r="N257" s="501"/>
      <c r="O257" s="501"/>
      <c r="P257" s="501"/>
      <c r="Q257" s="501"/>
      <c r="R257" s="502">
        <f t="shared" si="165"/>
        <v>0</v>
      </c>
      <c r="S257" s="504"/>
    </row>
    <row r="258" spans="1:19" ht="15.75" customHeight="1" x14ac:dyDescent="0.2">
      <c r="A258" s="278"/>
      <c r="B258" s="279"/>
      <c r="C258" s="1759"/>
      <c r="D258" s="1673"/>
      <c r="E258" s="507" t="s">
        <v>302</v>
      </c>
      <c r="F258" s="501">
        <f>F262+F270+F274</f>
        <v>0</v>
      </c>
      <c r="G258" s="501">
        <f t="shared" ref="G258:L258" si="166">G262+G270+G274</f>
        <v>0</v>
      </c>
      <c r="H258" s="501">
        <f t="shared" si="166"/>
        <v>0</v>
      </c>
      <c r="I258" s="501">
        <f t="shared" si="166"/>
        <v>500000</v>
      </c>
      <c r="J258" s="501">
        <f t="shared" si="166"/>
        <v>0</v>
      </c>
      <c r="K258" s="501">
        <f t="shared" si="166"/>
        <v>0</v>
      </c>
      <c r="L258" s="501">
        <f t="shared" si="166"/>
        <v>0</v>
      </c>
      <c r="M258" s="501">
        <f t="shared" si="149"/>
        <v>500000</v>
      </c>
      <c r="N258" s="501">
        <f>N262+N270+N274</f>
        <v>0</v>
      </c>
      <c r="O258" s="501">
        <f t="shared" ref="O258:Q258" si="167">O262+O270+O274</f>
        <v>0</v>
      </c>
      <c r="P258" s="501">
        <f t="shared" si="167"/>
        <v>0</v>
      </c>
      <c r="Q258" s="501">
        <f t="shared" si="167"/>
        <v>0</v>
      </c>
      <c r="R258" s="502">
        <f t="shared" si="165"/>
        <v>500000</v>
      </c>
      <c r="S258" s="504"/>
    </row>
    <row r="259" spans="1:19" ht="15.75" customHeight="1" x14ac:dyDescent="0.2">
      <c r="A259" s="278"/>
      <c r="B259" s="279"/>
      <c r="C259" s="1759"/>
      <c r="D259" s="1673"/>
      <c r="E259" s="507" t="s">
        <v>303</v>
      </c>
      <c r="F259" s="501">
        <f t="shared" ref="F259:L260" si="168">F263+F271+F275</f>
        <v>0</v>
      </c>
      <c r="G259" s="501">
        <f t="shared" si="168"/>
        <v>0</v>
      </c>
      <c r="H259" s="501">
        <f t="shared" si="168"/>
        <v>3991730</v>
      </c>
      <c r="I259" s="501">
        <f t="shared" si="168"/>
        <v>840000</v>
      </c>
      <c r="J259" s="501">
        <f t="shared" si="168"/>
        <v>0</v>
      </c>
      <c r="K259" s="501">
        <f t="shared" si="168"/>
        <v>340000</v>
      </c>
      <c r="L259" s="501">
        <f t="shared" si="168"/>
        <v>0</v>
      </c>
      <c r="M259" s="501">
        <f t="shared" si="149"/>
        <v>5171730</v>
      </c>
      <c r="N259" s="501">
        <f t="shared" ref="N259:Q260" si="169">N263+N271+N275</f>
        <v>0</v>
      </c>
      <c r="O259" s="501">
        <f t="shared" si="169"/>
        <v>0</v>
      </c>
      <c r="P259" s="501">
        <f t="shared" si="169"/>
        <v>0</v>
      </c>
      <c r="Q259" s="501">
        <f t="shared" si="169"/>
        <v>0</v>
      </c>
      <c r="R259" s="502">
        <f t="shared" si="165"/>
        <v>5171730</v>
      </c>
      <c r="S259" s="505"/>
    </row>
    <row r="260" spans="1:19" ht="15.75" customHeight="1" x14ac:dyDescent="0.2">
      <c r="A260" s="278"/>
      <c r="B260" s="279"/>
      <c r="C260" s="1760"/>
      <c r="D260" s="1674"/>
      <c r="E260" s="507" t="s">
        <v>304</v>
      </c>
      <c r="F260" s="501">
        <f t="shared" si="168"/>
        <v>0</v>
      </c>
      <c r="G260" s="501">
        <f t="shared" si="168"/>
        <v>0</v>
      </c>
      <c r="H260" s="501">
        <f>H264+H272+H276</f>
        <v>3991730</v>
      </c>
      <c r="I260" s="501">
        <f t="shared" si="168"/>
        <v>839590</v>
      </c>
      <c r="J260" s="501">
        <f t="shared" si="168"/>
        <v>0</v>
      </c>
      <c r="K260" s="501">
        <f t="shared" si="168"/>
        <v>340000</v>
      </c>
      <c r="L260" s="501">
        <f t="shared" si="168"/>
        <v>0</v>
      </c>
      <c r="M260" s="501">
        <f t="shared" si="149"/>
        <v>5171320</v>
      </c>
      <c r="N260" s="501">
        <f t="shared" si="169"/>
        <v>0</v>
      </c>
      <c r="O260" s="501">
        <f t="shared" si="169"/>
        <v>0</v>
      </c>
      <c r="P260" s="501">
        <f t="shared" si="169"/>
        <v>0</v>
      </c>
      <c r="Q260" s="501">
        <f t="shared" si="169"/>
        <v>0</v>
      </c>
      <c r="R260" s="502">
        <f t="shared" si="165"/>
        <v>5171320</v>
      </c>
      <c r="S260" s="506"/>
    </row>
    <row r="261" spans="1:19" ht="15.75" customHeight="1" x14ac:dyDescent="0.2">
      <c r="A261" s="278"/>
      <c r="B261" s="279"/>
      <c r="C261" s="1727" t="s">
        <v>330</v>
      </c>
      <c r="D261" s="1669" t="s">
        <v>55</v>
      </c>
      <c r="E261" s="490" t="s">
        <v>193</v>
      </c>
      <c r="F261" s="271"/>
      <c r="G261" s="271"/>
      <c r="H261" s="271"/>
      <c r="I261" s="271"/>
      <c r="J261" s="271"/>
      <c r="K261" s="271"/>
      <c r="L261" s="271"/>
      <c r="M261" s="271"/>
      <c r="N261" s="271"/>
      <c r="O261" s="271"/>
      <c r="P261" s="271"/>
      <c r="Q261" s="271"/>
      <c r="R261" s="222"/>
      <c r="S261" s="106"/>
    </row>
    <row r="262" spans="1:19" ht="15.75" customHeight="1" x14ac:dyDescent="0.2">
      <c r="A262" s="278"/>
      <c r="B262" s="279"/>
      <c r="C262" s="1727"/>
      <c r="D262" s="1670"/>
      <c r="E262" s="308" t="s">
        <v>302</v>
      </c>
      <c r="F262" s="220"/>
      <c r="G262" s="220"/>
      <c r="H262" s="220">
        <v>0</v>
      </c>
      <c r="I262" s="220"/>
      <c r="J262" s="220"/>
      <c r="K262" s="220"/>
      <c r="L262" s="220"/>
      <c r="M262" s="220">
        <f>SUM(F262:L262)</f>
        <v>0</v>
      </c>
      <c r="N262" s="220"/>
      <c r="O262" s="220"/>
      <c r="P262" s="220"/>
      <c r="Q262" s="220"/>
      <c r="R262" s="227">
        <f>SUM(M262:Q262)</f>
        <v>0</v>
      </c>
      <c r="S262" s="106"/>
    </row>
    <row r="263" spans="1:19" ht="15.75" customHeight="1" x14ac:dyDescent="0.2">
      <c r="A263" s="234"/>
      <c r="B263" s="287">
        <v>1</v>
      </c>
      <c r="C263" s="1727"/>
      <c r="D263" s="1670"/>
      <c r="E263" s="308" t="s">
        <v>303</v>
      </c>
      <c r="F263" s="231">
        <v>0</v>
      </c>
      <c r="G263" s="231"/>
      <c r="H263" s="232">
        <f>3991730</f>
        <v>3991730</v>
      </c>
      <c r="I263" s="232"/>
      <c r="J263" s="231">
        <v>0</v>
      </c>
      <c r="K263" s="231"/>
      <c r="L263" s="231"/>
      <c r="M263" s="220">
        <f t="shared" ref="M263:M280" si="170">SUM(F263:L263)</f>
        <v>3991730</v>
      </c>
      <c r="N263" s="231"/>
      <c r="O263" s="231"/>
      <c r="P263" s="231"/>
      <c r="Q263" s="231"/>
      <c r="R263" s="227">
        <f t="shared" ref="R263:R264" si="171">SUM(M263:Q263)</f>
        <v>3991730</v>
      </c>
      <c r="S263" s="106"/>
    </row>
    <row r="264" spans="1:19" ht="15.75" customHeight="1" x14ac:dyDescent="0.2">
      <c r="A264" s="234"/>
      <c r="B264" s="287"/>
      <c r="C264" s="1727"/>
      <c r="D264" s="1671"/>
      <c r="E264" s="335" t="s">
        <v>304</v>
      </c>
      <c r="F264" s="221"/>
      <c r="G264" s="221"/>
      <c r="H264" s="219">
        <v>3991730</v>
      </c>
      <c r="I264" s="219"/>
      <c r="J264" s="221"/>
      <c r="K264" s="221"/>
      <c r="L264" s="221"/>
      <c r="M264" s="220">
        <f t="shared" si="170"/>
        <v>3991730</v>
      </c>
      <c r="N264" s="221"/>
      <c r="O264" s="221"/>
      <c r="P264" s="221"/>
      <c r="Q264" s="221"/>
      <c r="R264" s="227">
        <f t="shared" si="171"/>
        <v>3991730</v>
      </c>
      <c r="S264" s="128"/>
    </row>
    <row r="265" spans="1:19" ht="15.75" customHeight="1" x14ac:dyDescent="0.2">
      <c r="A265" s="234"/>
      <c r="B265" s="235"/>
      <c r="C265" s="1682" t="s">
        <v>331</v>
      </c>
      <c r="D265" s="1669" t="s">
        <v>54</v>
      </c>
      <c r="E265" s="233" t="s">
        <v>226</v>
      </c>
      <c r="F265" s="221"/>
      <c r="G265" s="221"/>
      <c r="H265" s="219"/>
      <c r="I265" s="219"/>
      <c r="J265" s="221"/>
      <c r="K265" s="221"/>
      <c r="L265" s="221"/>
      <c r="M265" s="220"/>
      <c r="N265" s="221"/>
      <c r="O265" s="221"/>
      <c r="P265" s="221"/>
      <c r="Q265" s="221"/>
      <c r="R265" s="222"/>
      <c r="S265" s="128"/>
    </row>
    <row r="266" spans="1:19" ht="15.75" customHeight="1" x14ac:dyDescent="0.2">
      <c r="A266" s="234"/>
      <c r="B266" s="235"/>
      <c r="C266" s="1683"/>
      <c r="D266" s="1670"/>
      <c r="E266" s="308" t="s">
        <v>302</v>
      </c>
      <c r="F266" s="221"/>
      <c r="G266" s="221"/>
      <c r="H266" s="219"/>
      <c r="I266" s="219">
        <v>2000000</v>
      </c>
      <c r="J266" s="221"/>
      <c r="K266" s="221"/>
      <c r="L266" s="221"/>
      <c r="M266" s="220">
        <f t="shared" si="170"/>
        <v>2000000</v>
      </c>
      <c r="N266" s="221"/>
      <c r="O266" s="221"/>
      <c r="P266" s="221"/>
      <c r="Q266" s="221"/>
      <c r="R266" s="222">
        <f>SUM(M266:Q266)</f>
        <v>2000000</v>
      </c>
      <c r="S266" s="128"/>
    </row>
    <row r="267" spans="1:19" ht="15.75" customHeight="1" x14ac:dyDescent="0.2">
      <c r="A267" s="234"/>
      <c r="B267" s="235">
        <v>2</v>
      </c>
      <c r="C267" s="1683"/>
      <c r="D267" s="1670"/>
      <c r="E267" s="308" t="s">
        <v>303</v>
      </c>
      <c r="F267" s="231">
        <v>0</v>
      </c>
      <c r="G267" s="231"/>
      <c r="H267" s="232"/>
      <c r="I267" s="232">
        <f>2600000-I271</f>
        <v>1760000</v>
      </c>
      <c r="J267" s="231"/>
      <c r="K267" s="231"/>
      <c r="L267" s="231"/>
      <c r="M267" s="220">
        <f t="shared" si="170"/>
        <v>1760000</v>
      </c>
      <c r="N267" s="231"/>
      <c r="O267" s="231"/>
      <c r="P267" s="231"/>
      <c r="Q267" s="231"/>
      <c r="R267" s="222">
        <f t="shared" ref="R267:R268" si="172">SUM(M267:Q267)</f>
        <v>1760000</v>
      </c>
      <c r="S267" s="106"/>
    </row>
    <row r="268" spans="1:19" ht="15.75" customHeight="1" x14ac:dyDescent="0.2">
      <c r="A268" s="234"/>
      <c r="B268" s="235"/>
      <c r="C268" s="1684"/>
      <c r="D268" s="1671"/>
      <c r="E268" s="335" t="s">
        <v>304</v>
      </c>
      <c r="F268" s="231"/>
      <c r="G268" s="231"/>
      <c r="H268" s="232"/>
      <c r="I268" s="232">
        <f>1510341+25000</f>
        <v>1535341</v>
      </c>
      <c r="J268" s="231"/>
      <c r="K268" s="231"/>
      <c r="L268" s="231"/>
      <c r="M268" s="220">
        <f t="shared" si="170"/>
        <v>1535341</v>
      </c>
      <c r="N268" s="231"/>
      <c r="O268" s="231"/>
      <c r="P268" s="231"/>
      <c r="Q268" s="231"/>
      <c r="R268" s="222">
        <f t="shared" si="172"/>
        <v>1535341</v>
      </c>
      <c r="S268" s="106"/>
    </row>
    <row r="269" spans="1:19" ht="15.75" customHeight="1" x14ac:dyDescent="0.2">
      <c r="A269" s="234"/>
      <c r="B269" s="235"/>
      <c r="C269" s="1682" t="s">
        <v>332</v>
      </c>
      <c r="D269" s="1669" t="s">
        <v>55</v>
      </c>
      <c r="E269" s="233" t="s">
        <v>202</v>
      </c>
      <c r="F269" s="231"/>
      <c r="G269" s="231"/>
      <c r="H269" s="232"/>
      <c r="I269" s="232"/>
      <c r="J269" s="231"/>
      <c r="K269" s="231"/>
      <c r="L269" s="231"/>
      <c r="M269" s="220"/>
      <c r="N269" s="231"/>
      <c r="O269" s="231"/>
      <c r="P269" s="231"/>
      <c r="Q269" s="231"/>
      <c r="R269" s="227"/>
      <c r="S269" s="106"/>
    </row>
    <row r="270" spans="1:19" ht="15.75" customHeight="1" x14ac:dyDescent="0.2">
      <c r="A270" s="234"/>
      <c r="B270" s="235"/>
      <c r="C270" s="1683"/>
      <c r="D270" s="1670"/>
      <c r="E270" s="308" t="s">
        <v>302</v>
      </c>
      <c r="F270" s="231"/>
      <c r="G270" s="231"/>
      <c r="H270" s="232"/>
      <c r="I270" s="232">
        <v>0</v>
      </c>
      <c r="J270" s="231"/>
      <c r="K270" s="231"/>
      <c r="L270" s="231"/>
      <c r="M270" s="220">
        <f t="shared" si="170"/>
        <v>0</v>
      </c>
      <c r="N270" s="231"/>
      <c r="O270" s="231"/>
      <c r="P270" s="231"/>
      <c r="Q270" s="231"/>
      <c r="R270" s="227">
        <f>SUM(M270:Q270)</f>
        <v>0</v>
      </c>
      <c r="S270" s="106"/>
    </row>
    <row r="271" spans="1:19" ht="15.75" customHeight="1" x14ac:dyDescent="0.2">
      <c r="A271" s="234"/>
      <c r="B271" s="235">
        <v>3</v>
      </c>
      <c r="C271" s="1683"/>
      <c r="D271" s="1670"/>
      <c r="E271" s="308" t="s">
        <v>303</v>
      </c>
      <c r="F271" s="231"/>
      <c r="G271" s="231"/>
      <c r="H271" s="232"/>
      <c r="I271" s="232">
        <v>840000</v>
      </c>
      <c r="J271" s="231"/>
      <c r="K271" s="231"/>
      <c r="L271" s="231"/>
      <c r="M271" s="220">
        <f t="shared" si="170"/>
        <v>840000</v>
      </c>
      <c r="N271" s="231"/>
      <c r="O271" s="231"/>
      <c r="P271" s="231"/>
      <c r="Q271" s="231"/>
      <c r="R271" s="227">
        <f t="shared" ref="R271:R272" si="173">SUM(M271:Q271)</f>
        <v>840000</v>
      </c>
      <c r="S271" s="106"/>
    </row>
    <row r="272" spans="1:19" ht="15.75" customHeight="1" x14ac:dyDescent="0.2">
      <c r="A272" s="234"/>
      <c r="B272" s="235"/>
      <c r="C272" s="1684"/>
      <c r="D272" s="1671"/>
      <c r="E272" s="335" t="s">
        <v>304</v>
      </c>
      <c r="F272" s="231"/>
      <c r="G272" s="231"/>
      <c r="H272" s="232"/>
      <c r="I272" s="232">
        <v>839590</v>
      </c>
      <c r="J272" s="231"/>
      <c r="K272" s="231"/>
      <c r="L272" s="231"/>
      <c r="M272" s="220">
        <f t="shared" si="170"/>
        <v>839590</v>
      </c>
      <c r="N272" s="231"/>
      <c r="O272" s="231"/>
      <c r="P272" s="231"/>
      <c r="Q272" s="231"/>
      <c r="R272" s="227">
        <f t="shared" si="173"/>
        <v>839590</v>
      </c>
      <c r="S272" s="106"/>
    </row>
    <row r="273" spans="1:19" ht="15.75" customHeight="1" x14ac:dyDescent="0.2">
      <c r="A273" s="234"/>
      <c r="B273" s="235"/>
      <c r="C273" s="1682" t="s">
        <v>333</v>
      </c>
      <c r="D273" s="1669" t="s">
        <v>55</v>
      </c>
      <c r="E273" s="233" t="s">
        <v>199</v>
      </c>
      <c r="F273" s="231"/>
      <c r="G273" s="231"/>
      <c r="H273" s="232"/>
      <c r="I273" s="232"/>
      <c r="J273" s="231"/>
      <c r="K273" s="231"/>
      <c r="L273" s="231"/>
      <c r="M273" s="220"/>
      <c r="N273" s="231"/>
      <c r="O273" s="231"/>
      <c r="P273" s="231"/>
      <c r="Q273" s="231"/>
      <c r="R273" s="227"/>
      <c r="S273" s="106"/>
    </row>
    <row r="274" spans="1:19" ht="15.75" customHeight="1" x14ac:dyDescent="0.2">
      <c r="A274" s="234"/>
      <c r="B274" s="235"/>
      <c r="C274" s="1683"/>
      <c r="D274" s="1670"/>
      <c r="E274" s="308" t="s">
        <v>302</v>
      </c>
      <c r="F274" s="231"/>
      <c r="G274" s="231"/>
      <c r="H274" s="232"/>
      <c r="I274" s="232">
        <v>500000</v>
      </c>
      <c r="J274" s="231"/>
      <c r="K274" s="231">
        <v>0</v>
      </c>
      <c r="L274" s="231"/>
      <c r="M274" s="220">
        <f t="shared" si="170"/>
        <v>500000</v>
      </c>
      <c r="N274" s="231"/>
      <c r="O274" s="231"/>
      <c r="P274" s="231"/>
      <c r="Q274" s="231"/>
      <c r="R274" s="227">
        <f>SUM(M274:Q274)</f>
        <v>500000</v>
      </c>
      <c r="S274" s="106"/>
    </row>
    <row r="275" spans="1:19" ht="15.75" customHeight="1" x14ac:dyDescent="0.2">
      <c r="A275" s="234"/>
      <c r="B275" s="235">
        <v>4</v>
      </c>
      <c r="C275" s="1683"/>
      <c r="D275" s="1670"/>
      <c r="E275" s="308" t="s">
        <v>303</v>
      </c>
      <c r="F275" s="231"/>
      <c r="G275" s="231"/>
      <c r="H275" s="232"/>
      <c r="I275" s="232">
        <v>0</v>
      </c>
      <c r="J275" s="231"/>
      <c r="K275" s="231">
        <v>340000</v>
      </c>
      <c r="L275" s="231"/>
      <c r="M275" s="220">
        <f t="shared" si="170"/>
        <v>340000</v>
      </c>
      <c r="N275" s="231"/>
      <c r="O275" s="231"/>
      <c r="P275" s="231"/>
      <c r="Q275" s="231"/>
      <c r="R275" s="227">
        <f t="shared" ref="R275:R276" si="174">SUM(M275:Q275)</f>
        <v>340000</v>
      </c>
      <c r="S275" s="106"/>
    </row>
    <row r="276" spans="1:19" ht="15.75" customHeight="1" x14ac:dyDescent="0.2">
      <c r="A276" s="234"/>
      <c r="B276" s="235"/>
      <c r="C276" s="1684"/>
      <c r="D276" s="1671"/>
      <c r="E276" s="335" t="s">
        <v>304</v>
      </c>
      <c r="F276" s="231"/>
      <c r="G276" s="231"/>
      <c r="H276" s="232"/>
      <c r="I276" s="232">
        <v>0</v>
      </c>
      <c r="J276" s="231"/>
      <c r="K276" s="231">
        <v>340000</v>
      </c>
      <c r="L276" s="231"/>
      <c r="M276" s="220">
        <f t="shared" si="170"/>
        <v>340000</v>
      </c>
      <c r="N276" s="231"/>
      <c r="O276" s="231"/>
      <c r="P276" s="231"/>
      <c r="Q276" s="231"/>
      <c r="R276" s="227">
        <f t="shared" si="174"/>
        <v>340000</v>
      </c>
      <c r="S276" s="106"/>
    </row>
    <row r="277" spans="1:19" ht="15.75" customHeight="1" x14ac:dyDescent="0.2">
      <c r="A277" s="234"/>
      <c r="B277" s="235"/>
      <c r="C277" s="1682" t="s">
        <v>334</v>
      </c>
      <c r="D277" s="1669" t="s">
        <v>54</v>
      </c>
      <c r="E277" s="233" t="s">
        <v>228</v>
      </c>
      <c r="F277" s="231"/>
      <c r="G277" s="231"/>
      <c r="H277" s="232"/>
      <c r="I277" s="232"/>
      <c r="J277" s="231"/>
      <c r="K277" s="231"/>
      <c r="L277" s="231"/>
      <c r="M277" s="220"/>
      <c r="N277" s="231"/>
      <c r="O277" s="231"/>
      <c r="P277" s="231"/>
      <c r="Q277" s="231"/>
      <c r="R277" s="227"/>
      <c r="S277" s="106"/>
    </row>
    <row r="278" spans="1:19" ht="15.75" customHeight="1" x14ac:dyDescent="0.2">
      <c r="A278" s="234"/>
      <c r="B278" s="235"/>
      <c r="C278" s="1683"/>
      <c r="D278" s="1670"/>
      <c r="E278" s="308" t="s">
        <v>302</v>
      </c>
      <c r="F278" s="231"/>
      <c r="G278" s="231"/>
      <c r="H278" s="232"/>
      <c r="I278" s="232">
        <v>100000</v>
      </c>
      <c r="J278" s="231"/>
      <c r="K278" s="231"/>
      <c r="L278" s="231"/>
      <c r="M278" s="220">
        <f t="shared" si="170"/>
        <v>100000</v>
      </c>
      <c r="N278" s="231"/>
      <c r="O278" s="231"/>
      <c r="P278" s="231"/>
      <c r="Q278" s="231"/>
      <c r="R278" s="227">
        <f>SUM(M278:Q278)</f>
        <v>100000</v>
      </c>
      <c r="S278" s="106"/>
    </row>
    <row r="279" spans="1:19" ht="15.75" customHeight="1" x14ac:dyDescent="0.2">
      <c r="A279" s="234"/>
      <c r="B279" s="235">
        <v>5</v>
      </c>
      <c r="C279" s="1683"/>
      <c r="D279" s="1670"/>
      <c r="E279" s="308" t="s">
        <v>303</v>
      </c>
      <c r="F279" s="231"/>
      <c r="G279" s="231"/>
      <c r="H279" s="232"/>
      <c r="I279" s="232">
        <v>0</v>
      </c>
      <c r="J279" s="231"/>
      <c r="K279" s="231"/>
      <c r="L279" s="231"/>
      <c r="M279" s="220">
        <f t="shared" si="170"/>
        <v>0</v>
      </c>
      <c r="N279" s="231"/>
      <c r="O279" s="231"/>
      <c r="P279" s="231"/>
      <c r="Q279" s="231"/>
      <c r="R279" s="227">
        <f t="shared" ref="R279:R280" si="175">SUM(M279:Q279)</f>
        <v>0</v>
      </c>
      <c r="S279" s="106"/>
    </row>
    <row r="280" spans="1:19" ht="15.75" customHeight="1" x14ac:dyDescent="0.2">
      <c r="A280" s="234"/>
      <c r="B280" s="235"/>
      <c r="C280" s="1684"/>
      <c r="D280" s="1671"/>
      <c r="E280" s="335" t="s">
        <v>304</v>
      </c>
      <c r="F280" s="231"/>
      <c r="G280" s="231"/>
      <c r="H280" s="232"/>
      <c r="I280" s="232">
        <v>0</v>
      </c>
      <c r="J280" s="231"/>
      <c r="K280" s="231"/>
      <c r="L280" s="231"/>
      <c r="M280" s="220">
        <f t="shared" si="170"/>
        <v>0</v>
      </c>
      <c r="N280" s="231"/>
      <c r="O280" s="231"/>
      <c r="P280" s="231"/>
      <c r="Q280" s="231"/>
      <c r="R280" s="227">
        <f t="shared" si="175"/>
        <v>0</v>
      </c>
      <c r="S280" s="106"/>
    </row>
    <row r="281" spans="1:19" ht="15.75" customHeight="1" x14ac:dyDescent="0.2">
      <c r="A281" s="234"/>
      <c r="B281" s="235"/>
      <c r="C281" s="1755" t="s">
        <v>335</v>
      </c>
      <c r="D281" s="1681" t="s">
        <v>54</v>
      </c>
      <c r="E281" s="460" t="s">
        <v>186</v>
      </c>
      <c r="F281" s="231"/>
      <c r="G281" s="231"/>
      <c r="H281" s="232"/>
      <c r="I281" s="232"/>
      <c r="J281" s="231"/>
      <c r="K281" s="231"/>
      <c r="L281" s="231"/>
      <c r="M281" s="220"/>
      <c r="N281" s="231"/>
      <c r="O281" s="231"/>
      <c r="P281" s="231"/>
      <c r="Q281" s="231"/>
      <c r="R281" s="227"/>
      <c r="S281" s="106"/>
    </row>
    <row r="282" spans="1:19" ht="15.75" customHeight="1" x14ac:dyDescent="0.2">
      <c r="A282" s="234"/>
      <c r="B282" s="235"/>
      <c r="C282" s="1756"/>
      <c r="D282" s="1681"/>
      <c r="E282" s="308" t="s">
        <v>302</v>
      </c>
      <c r="F282" s="231">
        <v>3705152</v>
      </c>
      <c r="G282" s="231">
        <v>815133</v>
      </c>
      <c r="H282" s="232">
        <v>900000</v>
      </c>
      <c r="I282" s="232"/>
      <c r="J282" s="231"/>
      <c r="K282" s="231"/>
      <c r="L282" s="231"/>
      <c r="M282" s="220">
        <f>SUM(F282:L282)</f>
        <v>5420285</v>
      </c>
      <c r="N282" s="231">
        <v>0</v>
      </c>
      <c r="O282" s="231"/>
      <c r="P282" s="231"/>
      <c r="Q282" s="231"/>
      <c r="R282" s="227">
        <f>SUM(M282:Q282)</f>
        <v>5420285</v>
      </c>
      <c r="S282" s="106">
        <v>1.5</v>
      </c>
    </row>
    <row r="283" spans="1:19" s="103" customFormat="1" ht="15.75" customHeight="1" x14ac:dyDescent="0.2">
      <c r="A283" s="234"/>
      <c r="B283" s="235">
        <v>6</v>
      </c>
      <c r="C283" s="1756"/>
      <c r="D283" s="1681"/>
      <c r="E283" s="308" t="s">
        <v>303</v>
      </c>
      <c r="F283" s="231">
        <f>3611580+83572+10000+[1]Munka1!$D$7</f>
        <v>3910352</v>
      </c>
      <c r="G283" s="231">
        <f>F283*22%+[1]Munka1!$E$7</f>
        <v>907473.44000000006</v>
      </c>
      <c r="H283" s="232">
        <v>900000</v>
      </c>
      <c r="I283" s="232"/>
      <c r="J283" s="231"/>
      <c r="K283" s="231"/>
      <c r="L283" s="231"/>
      <c r="M283" s="220">
        <f t="shared" ref="M283:M284" si="176">SUM(F283:L283)</f>
        <v>5717825.4400000004</v>
      </c>
      <c r="N283" s="231">
        <f>'6 beruházások'!E24</f>
        <v>400000</v>
      </c>
      <c r="O283" s="231"/>
      <c r="P283" s="231"/>
      <c r="Q283" s="231"/>
      <c r="R283" s="227">
        <f t="shared" ref="R283:R284" si="177">SUM(M283:Q283)</f>
        <v>6117825.4400000004</v>
      </c>
      <c r="S283" s="106">
        <v>1.5</v>
      </c>
    </row>
    <row r="284" spans="1:19" s="103" customFormat="1" ht="15.75" customHeight="1" x14ac:dyDescent="0.2">
      <c r="A284" s="234"/>
      <c r="B284" s="235"/>
      <c r="C284" s="1757"/>
      <c r="D284" s="1681"/>
      <c r="E284" s="335" t="s">
        <v>304</v>
      </c>
      <c r="F284" s="231">
        <v>3677383</v>
      </c>
      <c r="G284" s="231">
        <v>905258</v>
      </c>
      <c r="H284" s="232">
        <v>896049</v>
      </c>
      <c r="I284" s="232"/>
      <c r="J284" s="231"/>
      <c r="K284" s="231"/>
      <c r="L284" s="231"/>
      <c r="M284" s="220">
        <f t="shared" si="176"/>
        <v>5478690</v>
      </c>
      <c r="N284" s="231">
        <f>'6 beruházások'!F25</f>
        <v>370205</v>
      </c>
      <c r="O284" s="231"/>
      <c r="P284" s="231"/>
      <c r="Q284" s="231"/>
      <c r="R284" s="227">
        <f t="shared" si="177"/>
        <v>5848895</v>
      </c>
      <c r="S284" s="106">
        <v>1.5</v>
      </c>
    </row>
    <row r="285" spans="1:19" s="103" customFormat="1" ht="15.75" customHeight="1" x14ac:dyDescent="0.2">
      <c r="A285" s="234"/>
      <c r="B285" s="235"/>
      <c r="C285" s="1727" t="s">
        <v>336</v>
      </c>
      <c r="D285" s="1669" t="s">
        <v>54</v>
      </c>
      <c r="E285" s="460" t="s">
        <v>189</v>
      </c>
      <c r="F285" s="231"/>
      <c r="G285" s="231"/>
      <c r="H285" s="232"/>
      <c r="I285" s="232"/>
      <c r="J285" s="231"/>
      <c r="K285" s="231"/>
      <c r="L285" s="231"/>
      <c r="M285" s="220"/>
      <c r="N285" s="231"/>
      <c r="O285" s="231"/>
      <c r="P285" s="231"/>
      <c r="Q285" s="231"/>
      <c r="R285" s="227"/>
      <c r="S285" s="106"/>
    </row>
    <row r="286" spans="1:19" s="103" customFormat="1" ht="15.75" customHeight="1" x14ac:dyDescent="0.2">
      <c r="A286" s="234"/>
      <c r="B286" s="235"/>
      <c r="C286" s="1727"/>
      <c r="D286" s="1670"/>
      <c r="E286" s="308" t="s">
        <v>302</v>
      </c>
      <c r="F286" s="231"/>
      <c r="G286" s="231"/>
      <c r="H286" s="232">
        <v>600000</v>
      </c>
      <c r="I286" s="232"/>
      <c r="J286" s="231"/>
      <c r="K286" s="231"/>
      <c r="L286" s="231"/>
      <c r="M286" s="220">
        <f>SUM(F286:L286)</f>
        <v>600000</v>
      </c>
      <c r="N286" s="231"/>
      <c r="O286" s="231"/>
      <c r="P286" s="231"/>
      <c r="Q286" s="231"/>
      <c r="R286" s="227">
        <f>SUM(M286:Q286)</f>
        <v>600000</v>
      </c>
      <c r="S286" s="106"/>
    </row>
    <row r="287" spans="1:19" ht="15.75" customHeight="1" x14ac:dyDescent="0.2">
      <c r="A287" s="234"/>
      <c r="B287" s="235">
        <v>7</v>
      </c>
      <c r="C287" s="1727"/>
      <c r="D287" s="1670"/>
      <c r="E287" s="308" t="s">
        <v>303</v>
      </c>
      <c r="F287" s="231">
        <v>0</v>
      </c>
      <c r="G287" s="231"/>
      <c r="H287" s="232">
        <f>600000</f>
        <v>600000</v>
      </c>
      <c r="I287" s="232"/>
      <c r="J287" s="231"/>
      <c r="K287" s="231"/>
      <c r="L287" s="231"/>
      <c r="M287" s="220">
        <f t="shared" ref="M287:M288" si="178">SUM(F287:L287)</f>
        <v>600000</v>
      </c>
      <c r="N287" s="231"/>
      <c r="O287" s="231"/>
      <c r="P287" s="232"/>
      <c r="Q287" s="232"/>
      <c r="R287" s="227">
        <f t="shared" ref="R287:R291" si="179">SUM(M287:Q287)</f>
        <v>600000</v>
      </c>
      <c r="S287" s="106"/>
    </row>
    <row r="288" spans="1:19" ht="15.75" customHeight="1" x14ac:dyDescent="0.2">
      <c r="A288" s="288"/>
      <c r="B288" s="350"/>
      <c r="C288" s="1727"/>
      <c r="D288" s="1671"/>
      <c r="E288" s="335" t="s">
        <v>304</v>
      </c>
      <c r="F288" s="225"/>
      <c r="G288" s="225"/>
      <c r="H288" s="226">
        <v>406764</v>
      </c>
      <c r="I288" s="226"/>
      <c r="J288" s="225"/>
      <c r="K288" s="225"/>
      <c r="L288" s="225"/>
      <c r="M288" s="220">
        <f t="shared" si="178"/>
        <v>406764</v>
      </c>
      <c r="N288" s="225"/>
      <c r="O288" s="225"/>
      <c r="P288" s="226"/>
      <c r="Q288" s="226"/>
      <c r="R288" s="227">
        <f t="shared" si="179"/>
        <v>406764</v>
      </c>
      <c r="S288" s="107"/>
    </row>
    <row r="289" spans="1:19" ht="15.75" customHeight="1" x14ac:dyDescent="0.2">
      <c r="A289" s="288"/>
      <c r="B289" s="350"/>
      <c r="C289" s="1727" t="s">
        <v>337</v>
      </c>
      <c r="D289" s="1752" t="s">
        <v>54</v>
      </c>
      <c r="E289" s="474" t="s">
        <v>190</v>
      </c>
      <c r="F289" s="225"/>
      <c r="G289" s="225"/>
      <c r="H289" s="226"/>
      <c r="I289" s="226"/>
      <c r="J289" s="225"/>
      <c r="K289" s="225"/>
      <c r="L289" s="225"/>
      <c r="M289" s="281"/>
      <c r="N289" s="225"/>
      <c r="O289" s="225"/>
      <c r="P289" s="226"/>
      <c r="Q289" s="226"/>
      <c r="R289" s="227"/>
      <c r="S289" s="107"/>
    </row>
    <row r="290" spans="1:19" ht="15.75" customHeight="1" x14ac:dyDescent="0.2">
      <c r="A290" s="288"/>
      <c r="B290" s="350"/>
      <c r="C290" s="1727"/>
      <c r="D290" s="1753"/>
      <c r="E290" s="308" t="s">
        <v>302</v>
      </c>
      <c r="F290" s="225"/>
      <c r="G290" s="225"/>
      <c r="H290" s="226">
        <v>141094</v>
      </c>
      <c r="I290" s="226"/>
      <c r="J290" s="225">
        <v>750000</v>
      </c>
      <c r="K290" s="225"/>
      <c r="L290" s="225"/>
      <c r="M290" s="281">
        <f>SUM(F290:L290)</f>
        <v>891094</v>
      </c>
      <c r="N290" s="225"/>
      <c r="O290" s="225"/>
      <c r="P290" s="226"/>
      <c r="Q290" s="226"/>
      <c r="R290" s="227">
        <f t="shared" si="179"/>
        <v>891094</v>
      </c>
      <c r="S290" s="107"/>
    </row>
    <row r="291" spans="1:19" ht="15.75" customHeight="1" x14ac:dyDescent="0.2">
      <c r="A291" s="288"/>
      <c r="B291" s="350"/>
      <c r="C291" s="1727"/>
      <c r="D291" s="1753"/>
      <c r="E291" s="308" t="s">
        <v>303</v>
      </c>
      <c r="F291" s="225"/>
      <c r="G291" s="225"/>
      <c r="H291" s="226">
        <v>150000</v>
      </c>
      <c r="I291" s="226"/>
      <c r="J291" s="225">
        <v>812500</v>
      </c>
      <c r="K291" s="225"/>
      <c r="L291" s="225"/>
      <c r="M291" s="281">
        <f t="shared" ref="M291:M292" si="180">SUM(F291:L291)</f>
        <v>962500</v>
      </c>
      <c r="N291" s="225"/>
      <c r="O291" s="225"/>
      <c r="P291" s="226"/>
      <c r="Q291" s="226"/>
      <c r="R291" s="227">
        <f t="shared" si="179"/>
        <v>962500</v>
      </c>
      <c r="S291" s="107"/>
    </row>
    <row r="292" spans="1:19" ht="15.75" customHeight="1" thickBot="1" x14ac:dyDescent="0.25">
      <c r="A292" s="280"/>
      <c r="B292" s="254">
        <v>8</v>
      </c>
      <c r="C292" s="1727"/>
      <c r="D292" s="1754"/>
      <c r="E292" s="335" t="s">
        <v>304</v>
      </c>
      <c r="F292" s="225">
        <v>0</v>
      </c>
      <c r="G292" s="225"/>
      <c r="H292" s="226">
        <v>143960</v>
      </c>
      <c r="I292" s="226"/>
      <c r="J292" s="225">
        <f>750000+62500</f>
        <v>812500</v>
      </c>
      <c r="K292" s="225"/>
      <c r="L292" s="225"/>
      <c r="M292" s="281">
        <f t="shared" si="180"/>
        <v>956460</v>
      </c>
      <c r="N292" s="225"/>
      <c r="O292" s="225"/>
      <c r="P292" s="226"/>
      <c r="Q292" s="226"/>
      <c r="R292" s="475">
        <f>SUM(M292:Q292)</f>
        <v>956460</v>
      </c>
      <c r="S292" s="107"/>
    </row>
    <row r="293" spans="1:19" ht="15.75" customHeight="1" thickBot="1" x14ac:dyDescent="0.2">
      <c r="A293" s="338"/>
      <c r="B293" s="339"/>
      <c r="C293" s="1728" t="s">
        <v>338</v>
      </c>
      <c r="D293" s="1737" t="s">
        <v>54</v>
      </c>
      <c r="E293" s="477" t="s">
        <v>0</v>
      </c>
      <c r="F293" s="478"/>
      <c r="G293" s="478"/>
      <c r="H293" s="479"/>
      <c r="I293" s="479"/>
      <c r="J293" s="478"/>
      <c r="K293" s="478"/>
      <c r="L293" s="478"/>
      <c r="M293" s="480"/>
      <c r="N293" s="478"/>
      <c r="O293" s="478"/>
      <c r="P293" s="479"/>
      <c r="Q293" s="479"/>
      <c r="R293" s="481"/>
      <c r="S293" s="482"/>
    </row>
    <row r="294" spans="1:19" ht="15.75" customHeight="1" thickBot="1" x14ac:dyDescent="0.25">
      <c r="A294" s="338"/>
      <c r="B294" s="339"/>
      <c r="C294" s="1729"/>
      <c r="D294" s="1738"/>
      <c r="E294" s="483" t="s">
        <v>302</v>
      </c>
      <c r="F294" s="478">
        <f>F298+F302</f>
        <v>37818070</v>
      </c>
      <c r="G294" s="478">
        <f t="shared" ref="G294:L294" si="181">G298+G302</f>
        <v>8319976</v>
      </c>
      <c r="H294" s="478">
        <f t="shared" si="181"/>
        <v>8325620</v>
      </c>
      <c r="I294" s="478">
        <f t="shared" si="181"/>
        <v>0</v>
      </c>
      <c r="J294" s="478">
        <f t="shared" si="181"/>
        <v>0</v>
      </c>
      <c r="K294" s="478">
        <f t="shared" si="181"/>
        <v>0</v>
      </c>
      <c r="L294" s="478">
        <f t="shared" si="181"/>
        <v>0</v>
      </c>
      <c r="M294" s="480">
        <f>SUM(F294:L294)</f>
        <v>54463666</v>
      </c>
      <c r="N294" s="480">
        <f>N298+N302</f>
        <v>17143412</v>
      </c>
      <c r="O294" s="478"/>
      <c r="P294" s="479"/>
      <c r="Q294" s="479"/>
      <c r="R294" s="481">
        <f>SUM(M294:Q294)</f>
        <v>71607078</v>
      </c>
      <c r="S294" s="482">
        <v>45</v>
      </c>
    </row>
    <row r="295" spans="1:19" s="23" customFormat="1" ht="15.75" customHeight="1" thickBot="1" x14ac:dyDescent="0.25">
      <c r="A295" s="282">
        <v>13</v>
      </c>
      <c r="B295" s="283"/>
      <c r="C295" s="1729"/>
      <c r="D295" s="1738"/>
      <c r="E295" s="483" t="s">
        <v>303</v>
      </c>
      <c r="F295" s="480">
        <f>F299+F303</f>
        <v>37918070</v>
      </c>
      <c r="G295" s="480">
        <f t="shared" ref="G295:L295" si="182">G299+G303</f>
        <v>4186927</v>
      </c>
      <c r="H295" s="480">
        <f>H299+H303</f>
        <v>28551128</v>
      </c>
      <c r="I295" s="480">
        <f t="shared" si="182"/>
        <v>0</v>
      </c>
      <c r="J295" s="480">
        <f t="shared" si="182"/>
        <v>0</v>
      </c>
      <c r="K295" s="480">
        <f t="shared" si="182"/>
        <v>0</v>
      </c>
      <c r="L295" s="480">
        <f t="shared" si="182"/>
        <v>0</v>
      </c>
      <c r="M295" s="480">
        <f>SUM(F295:L295)</f>
        <v>70656125</v>
      </c>
      <c r="N295" s="480">
        <f t="shared" ref="N295" si="183">N299+N303</f>
        <v>10363965</v>
      </c>
      <c r="O295" s="480"/>
      <c r="P295" s="480"/>
      <c r="Q295" s="480"/>
      <c r="R295" s="481">
        <f t="shared" ref="R295:R296" si="184">SUM(M295:Q295)</f>
        <v>81020090</v>
      </c>
      <c r="S295" s="484">
        <v>45</v>
      </c>
    </row>
    <row r="296" spans="1:19" s="23" customFormat="1" ht="15.75" customHeight="1" thickBot="1" x14ac:dyDescent="0.25">
      <c r="A296" s="337"/>
      <c r="B296" s="283"/>
      <c r="C296" s="1729"/>
      <c r="D296" s="1739"/>
      <c r="E296" s="483" t="s">
        <v>304</v>
      </c>
      <c r="F296" s="480">
        <f>F300+F304</f>
        <v>35442736</v>
      </c>
      <c r="G296" s="480">
        <f t="shared" ref="G296:L296" si="185">G300+G304</f>
        <v>4069191</v>
      </c>
      <c r="H296" s="480">
        <f t="shared" si="185"/>
        <v>28551128</v>
      </c>
      <c r="I296" s="480">
        <f t="shared" si="185"/>
        <v>0</v>
      </c>
      <c r="J296" s="480">
        <f t="shared" si="185"/>
        <v>0</v>
      </c>
      <c r="K296" s="480">
        <f t="shared" si="185"/>
        <v>0</v>
      </c>
      <c r="L296" s="480">
        <f t="shared" si="185"/>
        <v>0</v>
      </c>
      <c r="M296" s="480">
        <f>SUM(F296:L296)</f>
        <v>68063055</v>
      </c>
      <c r="N296" s="480">
        <f>N300+N304</f>
        <v>10321500</v>
      </c>
      <c r="O296" s="480"/>
      <c r="P296" s="480"/>
      <c r="Q296" s="480"/>
      <c r="R296" s="481">
        <f t="shared" si="184"/>
        <v>78384555</v>
      </c>
      <c r="S296" s="484">
        <v>36</v>
      </c>
    </row>
    <row r="297" spans="1:19" s="23" customFormat="1" ht="15.75" customHeight="1" x14ac:dyDescent="0.2">
      <c r="A297" s="337"/>
      <c r="B297" s="283"/>
      <c r="C297" s="1727" t="s">
        <v>339</v>
      </c>
      <c r="D297" s="1730" t="s">
        <v>54</v>
      </c>
      <c r="E297" s="467" t="s">
        <v>237</v>
      </c>
      <c r="F297" s="468"/>
      <c r="G297" s="468"/>
      <c r="H297" s="468"/>
      <c r="I297" s="468"/>
      <c r="J297" s="468"/>
      <c r="K297" s="468"/>
      <c r="L297" s="468"/>
      <c r="M297" s="468"/>
      <c r="N297" s="468"/>
      <c r="O297" s="468"/>
      <c r="P297" s="468"/>
      <c r="Q297" s="468"/>
      <c r="R297" s="284"/>
      <c r="S297" s="447"/>
    </row>
    <row r="298" spans="1:19" s="23" customFormat="1" ht="15.75" customHeight="1" x14ac:dyDescent="0.2">
      <c r="A298" s="337"/>
      <c r="B298" s="283"/>
      <c r="C298" s="1727"/>
      <c r="D298" s="1731"/>
      <c r="E298" s="308" t="s">
        <v>302</v>
      </c>
      <c r="F298" s="231">
        <v>1231090</v>
      </c>
      <c r="G298" s="231">
        <v>270840</v>
      </c>
      <c r="H298" s="231">
        <v>0</v>
      </c>
      <c r="I298" s="231"/>
      <c r="J298" s="231"/>
      <c r="K298" s="231"/>
      <c r="L298" s="231"/>
      <c r="M298" s="231">
        <f>SUM(F298:L298)</f>
        <v>1501930</v>
      </c>
      <c r="N298" s="231">
        <v>0</v>
      </c>
      <c r="O298" s="231"/>
      <c r="P298" s="231"/>
      <c r="Q298" s="231"/>
      <c r="R298" s="232">
        <f>SUM(M298:Q298)</f>
        <v>1501930</v>
      </c>
      <c r="S298" s="448"/>
    </row>
    <row r="299" spans="1:19" ht="15.75" customHeight="1" x14ac:dyDescent="0.2">
      <c r="A299" s="235"/>
      <c r="B299" s="443">
        <v>1</v>
      </c>
      <c r="C299" s="1727"/>
      <c r="D299" s="1731"/>
      <c r="E299" s="308" t="s">
        <v>303</v>
      </c>
      <c r="F299" s="231">
        <f>1331090+1011956</f>
        <v>2343046</v>
      </c>
      <c r="G299" s="231">
        <f>270840+15000</f>
        <v>285840</v>
      </c>
      <c r="H299" s="232">
        <v>10973</v>
      </c>
      <c r="I299" s="232"/>
      <c r="J299" s="231"/>
      <c r="K299" s="231"/>
      <c r="L299" s="231"/>
      <c r="M299" s="231">
        <f t="shared" ref="M299:M313" si="186">SUM(F299:L299)</f>
        <v>2639859</v>
      </c>
      <c r="N299" s="231">
        <v>0</v>
      </c>
      <c r="O299" s="231"/>
      <c r="P299" s="231"/>
      <c r="Q299" s="231"/>
      <c r="R299" s="232">
        <f t="shared" ref="R299:R300" si="187">SUM(M299:Q299)</f>
        <v>2639859</v>
      </c>
      <c r="S299" s="106"/>
    </row>
    <row r="300" spans="1:19" ht="15.75" customHeight="1" x14ac:dyDescent="0.2">
      <c r="A300" s="235"/>
      <c r="B300" s="443"/>
      <c r="C300" s="1727"/>
      <c r="D300" s="1732"/>
      <c r="E300" s="308" t="s">
        <v>304</v>
      </c>
      <c r="F300" s="231">
        <v>2343046</v>
      </c>
      <c r="G300" s="231">
        <v>285711</v>
      </c>
      <c r="H300" s="232">
        <v>10973</v>
      </c>
      <c r="I300" s="232"/>
      <c r="J300" s="231"/>
      <c r="K300" s="231"/>
      <c r="L300" s="231"/>
      <c r="M300" s="231">
        <f t="shared" si="186"/>
        <v>2639730</v>
      </c>
      <c r="N300" s="231">
        <v>0</v>
      </c>
      <c r="O300" s="231"/>
      <c r="P300" s="231"/>
      <c r="Q300" s="231"/>
      <c r="R300" s="232">
        <f t="shared" si="187"/>
        <v>2639730</v>
      </c>
      <c r="S300" s="106"/>
    </row>
    <row r="301" spans="1:19" ht="15.75" customHeight="1" x14ac:dyDescent="0.2">
      <c r="A301" s="235"/>
      <c r="B301" s="236"/>
      <c r="C301" s="1682" t="s">
        <v>340</v>
      </c>
      <c r="D301" s="1669" t="s">
        <v>54</v>
      </c>
      <c r="E301" s="233" t="s">
        <v>236</v>
      </c>
      <c r="F301" s="231"/>
      <c r="G301" s="231"/>
      <c r="H301" s="232"/>
      <c r="I301" s="232"/>
      <c r="J301" s="231"/>
      <c r="K301" s="231"/>
      <c r="L301" s="231"/>
      <c r="M301" s="220"/>
      <c r="N301" s="231"/>
      <c r="O301" s="231"/>
      <c r="P301" s="231"/>
      <c r="Q301" s="231"/>
      <c r="R301" s="227"/>
      <c r="S301" s="106"/>
    </row>
    <row r="302" spans="1:19" ht="15.75" customHeight="1" x14ac:dyDescent="0.2">
      <c r="A302" s="235"/>
      <c r="B302" s="236"/>
      <c r="C302" s="1683"/>
      <c r="D302" s="1670"/>
      <c r="E302" s="308" t="s">
        <v>302</v>
      </c>
      <c r="F302" s="231">
        <v>36586980</v>
      </c>
      <c r="G302" s="231">
        <v>8049136</v>
      </c>
      <c r="H302" s="232">
        <v>8325620</v>
      </c>
      <c r="I302" s="232"/>
      <c r="J302" s="231"/>
      <c r="K302" s="231"/>
      <c r="L302" s="231"/>
      <c r="M302" s="220">
        <f>SUM(F302:L302)</f>
        <v>52961736</v>
      </c>
      <c r="N302" s="231" t="str">
        <f>'6 beruházások'!D19</f>
        <v>17143412</v>
      </c>
      <c r="O302" s="231"/>
      <c r="P302" s="231"/>
      <c r="Q302" s="231"/>
      <c r="R302" s="227">
        <f>SUM(M302:Q302)</f>
        <v>52961736</v>
      </c>
      <c r="S302" s="106"/>
    </row>
    <row r="303" spans="1:19" ht="15.75" customHeight="1" x14ac:dyDescent="0.2">
      <c r="A303" s="235"/>
      <c r="B303" s="236">
        <v>2</v>
      </c>
      <c r="C303" s="1683"/>
      <c r="D303" s="1670"/>
      <c r="E303" s="335" t="s">
        <v>303</v>
      </c>
      <c r="F303" s="463">
        <f>36586980-1011956</f>
        <v>35575024</v>
      </c>
      <c r="G303" s="463">
        <f>4070191-G299+116736</f>
        <v>3901087</v>
      </c>
      <c r="H303" s="469">
        <f>8325620+11967417-450000+8697118</f>
        <v>28540155</v>
      </c>
      <c r="I303" s="469"/>
      <c r="J303" s="463"/>
      <c r="K303" s="463"/>
      <c r="L303" s="463"/>
      <c r="M303" s="220">
        <f t="shared" si="186"/>
        <v>68016266</v>
      </c>
      <c r="N303" s="463">
        <f>'6 beruházások'!E19</f>
        <v>10363965</v>
      </c>
      <c r="O303" s="463"/>
      <c r="P303" s="463"/>
      <c r="Q303" s="463"/>
      <c r="R303" s="227">
        <f t="shared" ref="R303:R304" si="188">SUM(M303:Q303)</f>
        <v>78380231</v>
      </c>
      <c r="S303" s="108"/>
    </row>
    <row r="304" spans="1:19" ht="15.75" customHeight="1" x14ac:dyDescent="0.2">
      <c r="A304" s="274"/>
      <c r="B304" s="236"/>
      <c r="C304" s="1684"/>
      <c r="D304" s="1671"/>
      <c r="E304" s="308" t="s">
        <v>304</v>
      </c>
      <c r="F304" s="225">
        <v>33099690</v>
      </c>
      <c r="G304" s="225">
        <v>3783480</v>
      </c>
      <c r="H304" s="226">
        <v>28540155</v>
      </c>
      <c r="I304" s="226"/>
      <c r="J304" s="225"/>
      <c r="K304" s="225"/>
      <c r="L304" s="225"/>
      <c r="M304" s="468">
        <f t="shared" si="186"/>
        <v>65423325</v>
      </c>
      <c r="N304" s="225">
        <f>'6 beruházások'!F19</f>
        <v>10321500</v>
      </c>
      <c r="O304" s="225"/>
      <c r="P304" s="225"/>
      <c r="Q304" s="225"/>
      <c r="R304" s="227">
        <f t="shared" si="188"/>
        <v>75744825</v>
      </c>
      <c r="S304" s="107"/>
    </row>
    <row r="305" spans="1:21" ht="19.5" customHeight="1" x14ac:dyDescent="0.15">
      <c r="A305" s="274"/>
      <c r="B305" s="236"/>
      <c r="C305" s="1727" t="s">
        <v>341</v>
      </c>
      <c r="D305" s="1675" t="s">
        <v>54</v>
      </c>
      <c r="E305" s="476" t="s">
        <v>297</v>
      </c>
      <c r="F305" s="225"/>
      <c r="G305" s="225"/>
      <c r="H305" s="226"/>
      <c r="I305" s="226"/>
      <c r="J305" s="225"/>
      <c r="K305" s="225"/>
      <c r="L305" s="225"/>
      <c r="M305" s="220"/>
      <c r="N305" s="225"/>
      <c r="O305" s="225"/>
      <c r="P305" s="225"/>
      <c r="Q305" s="225"/>
      <c r="R305" s="227"/>
      <c r="S305" s="107"/>
    </row>
    <row r="306" spans="1:21" ht="15.75" customHeight="1" x14ac:dyDescent="0.2">
      <c r="A306" s="274"/>
      <c r="B306" s="236"/>
      <c r="C306" s="1727"/>
      <c r="D306" s="1676"/>
      <c r="E306" s="308" t="s">
        <v>302</v>
      </c>
      <c r="F306" s="225">
        <v>5862540</v>
      </c>
      <c r="G306" s="225">
        <v>1348384</v>
      </c>
      <c r="H306" s="226">
        <v>2700000</v>
      </c>
      <c r="I306" s="226"/>
      <c r="J306" s="225"/>
      <c r="K306" s="225"/>
      <c r="L306" s="225"/>
      <c r="M306" s="220">
        <f>SUM(F306:L306)</f>
        <v>9910924</v>
      </c>
      <c r="N306" s="225">
        <v>0</v>
      </c>
      <c r="O306" s="225"/>
      <c r="P306" s="225"/>
      <c r="Q306" s="225"/>
      <c r="R306" s="227">
        <f>SUM(M306:Q306)</f>
        <v>9910924</v>
      </c>
      <c r="S306" s="107">
        <v>2</v>
      </c>
    </row>
    <row r="307" spans="1:21" ht="15.75" customHeight="1" x14ac:dyDescent="0.2">
      <c r="A307" s="234">
        <v>14</v>
      </c>
      <c r="B307" s="235"/>
      <c r="C307" s="1727"/>
      <c r="D307" s="1676"/>
      <c r="E307" s="335" t="s">
        <v>303</v>
      </c>
      <c r="F307" s="231">
        <f>5320000+112540+10000+420000+[1]Munka1!$D$6</f>
        <v>5930940</v>
      </c>
      <c r="G307" s="231">
        <f>F307*23%+[1]Munka1!$E$6</f>
        <v>1379848.2</v>
      </c>
      <c r="H307" s="232">
        <v>2700000</v>
      </c>
      <c r="I307" s="232"/>
      <c r="J307" s="231"/>
      <c r="K307" s="231">
        <v>0</v>
      </c>
      <c r="L307" s="231"/>
      <c r="M307" s="220">
        <f t="shared" ref="M307:M308" si="189">SUM(F307:L307)</f>
        <v>10010788.199999999</v>
      </c>
      <c r="N307" s="231">
        <v>14751</v>
      </c>
      <c r="O307" s="231"/>
      <c r="P307" s="231"/>
      <c r="Q307" s="231"/>
      <c r="R307" s="227">
        <f t="shared" ref="R307:R308" si="190">SUM(M307:Q307)</f>
        <v>10025539.199999999</v>
      </c>
      <c r="S307" s="448">
        <v>2</v>
      </c>
    </row>
    <row r="308" spans="1:21" ht="15.75" customHeight="1" x14ac:dyDescent="0.2">
      <c r="A308" s="285"/>
      <c r="B308" s="235"/>
      <c r="C308" s="1727"/>
      <c r="D308" s="1677"/>
      <c r="E308" s="308" t="s">
        <v>304</v>
      </c>
      <c r="F308" s="231">
        <f>373389+5208020</f>
        <v>5581409</v>
      </c>
      <c r="G308" s="231">
        <f>82146+1175838</f>
        <v>1257984</v>
      </c>
      <c r="H308" s="232">
        <v>2447790</v>
      </c>
      <c r="I308" s="232"/>
      <c r="J308" s="231"/>
      <c r="K308" s="231"/>
      <c r="L308" s="231"/>
      <c r="M308" s="468">
        <f t="shared" si="189"/>
        <v>9287183</v>
      </c>
      <c r="N308" s="231">
        <v>14751</v>
      </c>
      <c r="O308" s="231"/>
      <c r="P308" s="231"/>
      <c r="Q308" s="231"/>
      <c r="R308" s="227">
        <f t="shared" si="190"/>
        <v>9301934</v>
      </c>
      <c r="S308" s="448">
        <v>2</v>
      </c>
    </row>
    <row r="309" spans="1:21" ht="15.75" customHeight="1" x14ac:dyDescent="0.15">
      <c r="A309" s="285">
        <v>15</v>
      </c>
      <c r="B309" s="235"/>
      <c r="C309" s="1682" t="s">
        <v>342</v>
      </c>
      <c r="D309" s="1669" t="s">
        <v>54</v>
      </c>
      <c r="E309" s="286" t="s">
        <v>259</v>
      </c>
      <c r="F309" s="231"/>
      <c r="G309" s="231"/>
      <c r="H309" s="232">
        <v>0</v>
      </c>
      <c r="I309" s="232"/>
      <c r="J309" s="231"/>
      <c r="K309" s="231"/>
      <c r="L309" s="231"/>
      <c r="M309" s="220"/>
      <c r="N309" s="231"/>
      <c r="O309" s="231"/>
      <c r="P309" s="231"/>
      <c r="Q309" s="231"/>
      <c r="R309" s="227"/>
      <c r="S309" s="448"/>
    </row>
    <row r="310" spans="1:21" ht="15.75" customHeight="1" x14ac:dyDescent="0.2">
      <c r="A310" s="285"/>
      <c r="B310" s="235"/>
      <c r="C310" s="1683"/>
      <c r="D310" s="1670"/>
      <c r="E310" s="308" t="s">
        <v>302</v>
      </c>
      <c r="F310" s="231"/>
      <c r="G310" s="231"/>
      <c r="H310" s="232">
        <v>1528000</v>
      </c>
      <c r="I310" s="232"/>
      <c r="J310" s="231"/>
      <c r="K310" s="231"/>
      <c r="L310" s="231"/>
      <c r="M310" s="220">
        <f t="shared" si="186"/>
        <v>1528000</v>
      </c>
      <c r="N310" s="231"/>
      <c r="O310" s="231"/>
      <c r="P310" s="231"/>
      <c r="Q310" s="231"/>
      <c r="R310" s="227">
        <f t="shared" ref="R310:R312" si="191">SUM(M310:Q310)</f>
        <v>1528000</v>
      </c>
      <c r="S310" s="447"/>
    </row>
    <row r="311" spans="1:21" ht="15.75" customHeight="1" x14ac:dyDescent="0.2">
      <c r="A311" s="285"/>
      <c r="B311" s="235"/>
      <c r="C311" s="1683"/>
      <c r="D311" s="1670"/>
      <c r="E311" s="335" t="s">
        <v>303</v>
      </c>
      <c r="F311" s="231"/>
      <c r="G311" s="231"/>
      <c r="H311" s="232">
        <v>0</v>
      </c>
      <c r="I311" s="232"/>
      <c r="J311" s="231"/>
      <c r="K311" s="231"/>
      <c r="L311" s="231"/>
      <c r="M311" s="220">
        <f t="shared" si="186"/>
        <v>0</v>
      </c>
      <c r="N311" s="231"/>
      <c r="O311" s="231"/>
      <c r="P311" s="231"/>
      <c r="Q311" s="231"/>
      <c r="R311" s="227">
        <f t="shared" si="191"/>
        <v>0</v>
      </c>
      <c r="S311" s="449"/>
    </row>
    <row r="312" spans="1:21" ht="15.75" customHeight="1" x14ac:dyDescent="0.2">
      <c r="A312" s="285"/>
      <c r="B312" s="235"/>
      <c r="C312" s="1684"/>
      <c r="D312" s="1671"/>
      <c r="E312" s="308" t="s">
        <v>304</v>
      </c>
      <c r="F312" s="231"/>
      <c r="G312" s="231"/>
      <c r="H312" s="232">
        <v>0</v>
      </c>
      <c r="I312" s="232"/>
      <c r="J312" s="231"/>
      <c r="K312" s="231"/>
      <c r="L312" s="231"/>
      <c r="M312" s="220">
        <f t="shared" si="186"/>
        <v>0</v>
      </c>
      <c r="N312" s="231"/>
      <c r="O312" s="231"/>
      <c r="P312" s="231"/>
      <c r="Q312" s="231"/>
      <c r="R312" s="227">
        <f t="shared" si="191"/>
        <v>0</v>
      </c>
      <c r="S312" s="449"/>
    </row>
    <row r="313" spans="1:21" s="240" customFormat="1" ht="15.75" customHeight="1" x14ac:dyDescent="0.15">
      <c r="A313" s="287">
        <v>16</v>
      </c>
      <c r="B313" s="235"/>
      <c r="C313" s="1682" t="s">
        <v>343</v>
      </c>
      <c r="D313" s="1675" t="s">
        <v>55</v>
      </c>
      <c r="E313" s="286" t="s">
        <v>77</v>
      </c>
      <c r="F313" s="220">
        <v>0</v>
      </c>
      <c r="G313" s="220"/>
      <c r="H313" s="231"/>
      <c r="I313" s="231"/>
      <c r="J313" s="231">
        <v>0</v>
      </c>
      <c r="K313" s="231">
        <v>0</v>
      </c>
      <c r="L313" s="220"/>
      <c r="M313" s="220">
        <f t="shared" si="186"/>
        <v>0</v>
      </c>
      <c r="N313" s="220"/>
      <c r="O313" s="220"/>
      <c r="P313" s="220"/>
      <c r="Q313" s="220"/>
      <c r="R313" s="227">
        <f>M313</f>
        <v>0</v>
      </c>
      <c r="S313" s="448"/>
      <c r="T313" s="73"/>
      <c r="U313" s="239"/>
    </row>
    <row r="314" spans="1:21" s="240" customFormat="1" ht="15.75" customHeight="1" x14ac:dyDescent="0.2">
      <c r="A314" s="237"/>
      <c r="B314" s="238"/>
      <c r="C314" s="1683"/>
      <c r="D314" s="1676"/>
      <c r="E314" s="308" t="s">
        <v>302</v>
      </c>
      <c r="F314" s="220"/>
      <c r="G314" s="220"/>
      <c r="H314" s="231"/>
      <c r="I314" s="231"/>
      <c r="J314" s="231">
        <v>30000</v>
      </c>
      <c r="K314" s="231"/>
      <c r="L314" s="220"/>
      <c r="M314" s="220"/>
      <c r="N314" s="220"/>
      <c r="O314" s="220"/>
      <c r="P314" s="220"/>
      <c r="Q314" s="220"/>
      <c r="R314" s="227"/>
      <c r="S314" s="447"/>
      <c r="T314" s="73"/>
      <c r="U314" s="239"/>
    </row>
    <row r="315" spans="1:21" s="240" customFormat="1" ht="15.75" customHeight="1" x14ac:dyDescent="0.2">
      <c r="A315" s="237"/>
      <c r="B315" s="238"/>
      <c r="C315" s="1683"/>
      <c r="D315" s="1676"/>
      <c r="E315" s="335" t="s">
        <v>303</v>
      </c>
      <c r="F315" s="220"/>
      <c r="G315" s="220"/>
      <c r="H315" s="231"/>
      <c r="I315" s="231"/>
      <c r="J315" s="231">
        <v>75000</v>
      </c>
      <c r="K315" s="231"/>
      <c r="L315" s="220"/>
      <c r="M315" s="220"/>
      <c r="N315" s="220"/>
      <c r="O315" s="220"/>
      <c r="P315" s="220"/>
      <c r="Q315" s="220"/>
      <c r="R315" s="227"/>
      <c r="S315" s="448"/>
      <c r="T315" s="73"/>
      <c r="U315" s="239"/>
    </row>
    <row r="316" spans="1:21" s="240" customFormat="1" ht="15.75" customHeight="1" x14ac:dyDescent="0.2">
      <c r="A316" s="237"/>
      <c r="B316" s="238"/>
      <c r="C316" s="1683"/>
      <c r="D316" s="1677"/>
      <c r="E316" s="308" t="s">
        <v>304</v>
      </c>
      <c r="F316" s="220"/>
      <c r="G316" s="220"/>
      <c r="H316" s="231"/>
      <c r="I316" s="231"/>
      <c r="J316" s="231">
        <v>75000</v>
      </c>
      <c r="K316" s="231"/>
      <c r="L316" s="220"/>
      <c r="M316" s="220"/>
      <c r="N316" s="220"/>
      <c r="O316" s="220"/>
      <c r="P316" s="220"/>
      <c r="Q316" s="220"/>
      <c r="R316" s="227"/>
      <c r="S316" s="448"/>
      <c r="T316" s="73"/>
      <c r="U316" s="239"/>
    </row>
    <row r="317" spans="1:21" s="240" customFormat="1" ht="15.75" customHeight="1" x14ac:dyDescent="0.15">
      <c r="A317" s="237"/>
      <c r="B317" s="238"/>
      <c r="C317" s="1727" t="s">
        <v>344</v>
      </c>
      <c r="D317" s="1675" t="s">
        <v>54</v>
      </c>
      <c r="E317" s="446" t="s">
        <v>244</v>
      </c>
      <c r="F317" s="220"/>
      <c r="G317" s="220"/>
      <c r="H317" s="231"/>
      <c r="I317" s="231"/>
      <c r="J317" s="231"/>
      <c r="K317" s="231"/>
      <c r="L317" s="220"/>
      <c r="M317" s="220"/>
      <c r="N317" s="220"/>
      <c r="O317" s="220"/>
      <c r="P317" s="220"/>
      <c r="Q317" s="220"/>
      <c r="R317" s="227"/>
      <c r="S317" s="447"/>
      <c r="T317" s="73"/>
      <c r="U317" s="239"/>
    </row>
    <row r="318" spans="1:21" s="240" customFormat="1" ht="15.75" customHeight="1" x14ac:dyDescent="0.2">
      <c r="A318" s="237"/>
      <c r="B318" s="238"/>
      <c r="C318" s="1727"/>
      <c r="D318" s="1676"/>
      <c r="E318" s="308" t="s">
        <v>302</v>
      </c>
      <c r="F318" s="220"/>
      <c r="G318" s="220"/>
      <c r="H318" s="231">
        <v>300000</v>
      </c>
      <c r="I318" s="231"/>
      <c r="J318" s="231"/>
      <c r="K318" s="231"/>
      <c r="L318" s="220"/>
      <c r="M318" s="220">
        <f>SUM(F318:L318)</f>
        <v>300000</v>
      </c>
      <c r="N318" s="220"/>
      <c r="O318" s="220"/>
      <c r="P318" s="220"/>
      <c r="Q318" s="220"/>
      <c r="R318" s="227">
        <f>SUM(M318:Q318)</f>
        <v>300000</v>
      </c>
      <c r="S318" s="448"/>
      <c r="T318" s="73"/>
      <c r="U318" s="239"/>
    </row>
    <row r="319" spans="1:21" s="23" customFormat="1" ht="15.75" customHeight="1" x14ac:dyDescent="0.2">
      <c r="A319" s="237">
        <v>17</v>
      </c>
      <c r="B319" s="238"/>
      <c r="C319" s="1727"/>
      <c r="D319" s="1676"/>
      <c r="E319" s="335" t="s">
        <v>303</v>
      </c>
      <c r="F319" s="220"/>
      <c r="G319" s="220"/>
      <c r="H319" s="231">
        <f>350000+200000</f>
        <v>550000</v>
      </c>
      <c r="I319" s="231"/>
      <c r="J319" s="231"/>
      <c r="K319" s="231"/>
      <c r="L319" s="220"/>
      <c r="M319" s="220">
        <f t="shared" ref="M319:M323" si="192">SUM(F319:L319)</f>
        <v>550000</v>
      </c>
      <c r="N319" s="220"/>
      <c r="O319" s="220"/>
      <c r="P319" s="220"/>
      <c r="Q319" s="220"/>
      <c r="R319" s="227">
        <f t="shared" ref="R319:R323" si="193">SUM(M319:Q319)</f>
        <v>550000</v>
      </c>
      <c r="S319" s="448"/>
      <c r="T319" s="73"/>
      <c r="U319" s="73"/>
    </row>
    <row r="320" spans="1:21" s="23" customFormat="1" ht="15.75" customHeight="1" x14ac:dyDescent="0.2">
      <c r="A320" s="237"/>
      <c r="B320" s="238"/>
      <c r="C320" s="1727"/>
      <c r="D320" s="1677"/>
      <c r="E320" s="308" t="s">
        <v>304</v>
      </c>
      <c r="F320" s="220"/>
      <c r="G320" s="220"/>
      <c r="H320" s="231">
        <v>531663</v>
      </c>
      <c r="I320" s="231"/>
      <c r="J320" s="231"/>
      <c r="K320" s="231"/>
      <c r="L320" s="220"/>
      <c r="M320" s="220">
        <f t="shared" si="192"/>
        <v>531663</v>
      </c>
      <c r="N320" s="220"/>
      <c r="O320" s="220"/>
      <c r="P320" s="220"/>
      <c r="Q320" s="220"/>
      <c r="R320" s="227">
        <f t="shared" si="193"/>
        <v>531663</v>
      </c>
      <c r="S320" s="449"/>
      <c r="T320" s="73"/>
      <c r="U320" s="73"/>
    </row>
    <row r="321" spans="1:21" s="23" customFormat="1" ht="15.75" customHeight="1" x14ac:dyDescent="0.2">
      <c r="A321" s="237"/>
      <c r="B321" s="339"/>
      <c r="C321" s="1727" t="s">
        <v>345</v>
      </c>
      <c r="D321" s="1663" t="s">
        <v>54</v>
      </c>
      <c r="E321" s="450" t="s">
        <v>208</v>
      </c>
      <c r="F321" s="220"/>
      <c r="G321" s="220"/>
      <c r="H321" s="231"/>
      <c r="I321" s="231"/>
      <c r="J321" s="231"/>
      <c r="K321" s="231"/>
      <c r="L321" s="220"/>
      <c r="M321" s="220"/>
      <c r="N321" s="220"/>
      <c r="O321" s="220"/>
      <c r="P321" s="220"/>
      <c r="Q321" s="220"/>
      <c r="R321" s="227"/>
      <c r="S321" s="449"/>
      <c r="T321" s="73"/>
      <c r="U321" s="73"/>
    </row>
    <row r="322" spans="1:21" s="23" customFormat="1" ht="15.75" customHeight="1" x14ac:dyDescent="0.2">
      <c r="A322" s="237"/>
      <c r="B322" s="339"/>
      <c r="C322" s="1727"/>
      <c r="D322" s="1664"/>
      <c r="E322" s="308" t="s">
        <v>302</v>
      </c>
      <c r="F322" s="220"/>
      <c r="G322" s="220"/>
      <c r="H322" s="231">
        <v>150000</v>
      </c>
      <c r="I322" s="231"/>
      <c r="J322" s="231"/>
      <c r="K322" s="231"/>
      <c r="L322" s="220"/>
      <c r="M322" s="220"/>
      <c r="N322" s="220"/>
      <c r="O322" s="220"/>
      <c r="P322" s="220"/>
      <c r="Q322" s="220"/>
      <c r="R322" s="227"/>
      <c r="S322" s="449"/>
      <c r="T322" s="73"/>
      <c r="U322" s="73"/>
    </row>
    <row r="323" spans="1:21" ht="15.75" customHeight="1" x14ac:dyDescent="0.2">
      <c r="A323" s="235">
        <v>18</v>
      </c>
      <c r="B323" s="443"/>
      <c r="C323" s="1727"/>
      <c r="D323" s="1664"/>
      <c r="E323" s="335" t="s">
        <v>303</v>
      </c>
      <c r="F323" s="231"/>
      <c r="G323" s="231"/>
      <c r="H323" s="232">
        <v>0</v>
      </c>
      <c r="I323" s="232"/>
      <c r="J323" s="231"/>
      <c r="K323" s="231"/>
      <c r="L323" s="231">
        <v>0</v>
      </c>
      <c r="M323" s="220">
        <f t="shared" si="192"/>
        <v>0</v>
      </c>
      <c r="N323" s="231"/>
      <c r="O323" s="231"/>
      <c r="P323" s="231"/>
      <c r="Q323" s="231"/>
      <c r="R323" s="227">
        <f t="shared" si="193"/>
        <v>0</v>
      </c>
      <c r="S323" s="106"/>
    </row>
    <row r="324" spans="1:21" ht="15.75" customHeight="1" thickBot="1" x14ac:dyDescent="0.25">
      <c r="A324" s="237"/>
      <c r="B324" s="351"/>
      <c r="C324" s="1682"/>
      <c r="D324" s="1664"/>
      <c r="E324" s="415" t="s">
        <v>304</v>
      </c>
      <c r="F324" s="463"/>
      <c r="G324" s="463"/>
      <c r="H324" s="469">
        <v>0</v>
      </c>
      <c r="I324" s="469"/>
      <c r="J324" s="463"/>
      <c r="K324" s="463"/>
      <c r="L324" s="463"/>
      <c r="M324" s="468"/>
      <c r="N324" s="463"/>
      <c r="O324" s="463"/>
      <c r="P324" s="463"/>
      <c r="Q324" s="463"/>
      <c r="R324" s="284"/>
      <c r="S324" s="108"/>
    </row>
    <row r="325" spans="1:21" s="23" customFormat="1" ht="15.75" customHeight="1" thickBot="1" x14ac:dyDescent="0.25">
      <c r="A325" s="1607" t="s">
        <v>346</v>
      </c>
      <c r="B325" s="1607"/>
      <c r="C325" s="1607"/>
      <c r="D325" s="1607"/>
      <c r="E325" s="1607"/>
      <c r="F325" s="260"/>
      <c r="G325" s="260"/>
      <c r="H325" s="260"/>
      <c r="I325" s="260"/>
      <c r="J325" s="260"/>
      <c r="K325" s="260"/>
      <c r="L325" s="260"/>
      <c r="M325" s="260"/>
      <c r="N325" s="260"/>
      <c r="O325" s="260"/>
      <c r="P325" s="260"/>
      <c r="Q325" s="260"/>
      <c r="R325" s="260"/>
      <c r="S325" s="1082"/>
      <c r="T325" s="73"/>
      <c r="U325" s="73"/>
    </row>
    <row r="326" spans="1:21" s="23" customFormat="1" ht="15.75" customHeight="1" thickBot="1" x14ac:dyDescent="0.25">
      <c r="A326" s="543"/>
      <c r="B326" s="543"/>
      <c r="C326" s="1607"/>
      <c r="D326" s="1607"/>
      <c r="E326" s="396" t="s">
        <v>302</v>
      </c>
      <c r="F326" s="260">
        <f>F330+F334+F338</f>
        <v>62626633</v>
      </c>
      <c r="G326" s="260">
        <f t="shared" ref="G326:Q326" si="194">G330+G334+G338</f>
        <v>13966770</v>
      </c>
      <c r="H326" s="260">
        <f t="shared" si="194"/>
        <v>52361171</v>
      </c>
      <c r="I326" s="260">
        <f t="shared" si="194"/>
        <v>2600000</v>
      </c>
      <c r="J326" s="260">
        <f t="shared" si="194"/>
        <v>2728059</v>
      </c>
      <c r="K326" s="260">
        <f>K330+K334+K338</f>
        <v>3083040</v>
      </c>
      <c r="L326" s="260">
        <f t="shared" si="194"/>
        <v>500000</v>
      </c>
      <c r="M326" s="260">
        <f>SUM(F326:L326)</f>
        <v>137865673</v>
      </c>
      <c r="N326" s="260">
        <f t="shared" si="194"/>
        <v>44658369</v>
      </c>
      <c r="O326" s="260">
        <f t="shared" si="194"/>
        <v>0</v>
      </c>
      <c r="P326" s="260">
        <f t="shared" si="194"/>
        <v>0</v>
      </c>
      <c r="Q326" s="260">
        <f t="shared" si="194"/>
        <v>0</v>
      </c>
      <c r="R326" s="260">
        <f>SUM(M326:Q326)</f>
        <v>182524042</v>
      </c>
      <c r="S326" s="1082">
        <f>S330</f>
        <v>52.5</v>
      </c>
      <c r="T326" s="73"/>
      <c r="U326" s="73"/>
    </row>
    <row r="327" spans="1:21" s="23" customFormat="1" ht="15.75" customHeight="1" thickBot="1" x14ac:dyDescent="0.25">
      <c r="A327" s="543"/>
      <c r="B327" s="543"/>
      <c r="C327" s="1607"/>
      <c r="D327" s="1607"/>
      <c r="E327" s="396" t="s">
        <v>303</v>
      </c>
      <c r="F327" s="260">
        <f>F331+F335+F339</f>
        <v>65438122</v>
      </c>
      <c r="G327" s="260">
        <f t="shared" ref="G327:Q328" si="195">G331+G335+G339</f>
        <v>10416567.1</v>
      </c>
      <c r="H327" s="260">
        <f t="shared" si="195"/>
        <v>82796918</v>
      </c>
      <c r="I327" s="260">
        <f t="shared" si="195"/>
        <v>2600000</v>
      </c>
      <c r="J327" s="260">
        <f t="shared" si="195"/>
        <v>943066</v>
      </c>
      <c r="K327" s="260">
        <f t="shared" si="195"/>
        <v>5740351</v>
      </c>
      <c r="L327" s="260">
        <f t="shared" si="195"/>
        <v>500000</v>
      </c>
      <c r="M327" s="260">
        <f t="shared" ref="M327:M328" si="196">SUM(F327:L327)</f>
        <v>168435024.09999999</v>
      </c>
      <c r="N327" s="260">
        <f t="shared" si="195"/>
        <v>240613677.06999999</v>
      </c>
      <c r="O327" s="260">
        <f t="shared" si="195"/>
        <v>0</v>
      </c>
      <c r="P327" s="260">
        <f t="shared" si="195"/>
        <v>0</v>
      </c>
      <c r="Q327" s="260">
        <f t="shared" si="195"/>
        <v>0</v>
      </c>
      <c r="R327" s="260">
        <f t="shared" ref="R327:R328" si="197">SUM(M327:Q327)</f>
        <v>409048701.16999996</v>
      </c>
      <c r="S327" s="1082">
        <f t="shared" ref="S327:S328" si="198">S331</f>
        <v>43.5</v>
      </c>
      <c r="T327" s="73"/>
      <c r="U327" s="73"/>
    </row>
    <row r="328" spans="1:21" s="23" customFormat="1" ht="15.75" customHeight="1" thickBot="1" x14ac:dyDescent="0.25">
      <c r="A328" s="543"/>
      <c r="B328" s="543"/>
      <c r="C328" s="1607"/>
      <c r="D328" s="1607"/>
      <c r="E328" s="396" t="s">
        <v>304</v>
      </c>
      <c r="F328" s="260">
        <f>F332+F336+F340</f>
        <v>58489091</v>
      </c>
      <c r="G328" s="260">
        <f t="shared" si="195"/>
        <v>9178282</v>
      </c>
      <c r="H328" s="260">
        <f t="shared" si="195"/>
        <v>79533553</v>
      </c>
      <c r="I328" s="260">
        <f t="shared" si="195"/>
        <v>2374931</v>
      </c>
      <c r="J328" s="260">
        <f t="shared" si="195"/>
        <v>943066</v>
      </c>
      <c r="K328" s="260">
        <f>K332+K336+K340</f>
        <v>5515622</v>
      </c>
      <c r="L328" s="260">
        <f t="shared" si="195"/>
        <v>0</v>
      </c>
      <c r="M328" s="260">
        <f t="shared" si="196"/>
        <v>156034545</v>
      </c>
      <c r="N328" s="260">
        <f>N332+N336+N340</f>
        <v>47455634</v>
      </c>
      <c r="O328" s="260">
        <f t="shared" si="195"/>
        <v>0</v>
      </c>
      <c r="P328" s="260">
        <f t="shared" si="195"/>
        <v>0</v>
      </c>
      <c r="Q328" s="260">
        <f t="shared" si="195"/>
        <v>0</v>
      </c>
      <c r="R328" s="260">
        <f t="shared" si="197"/>
        <v>203490179</v>
      </c>
      <c r="S328" s="1082">
        <f t="shared" si="198"/>
        <v>43.5</v>
      </c>
      <c r="T328" s="73"/>
      <c r="U328" s="73"/>
    </row>
    <row r="329" spans="1:21" s="28" customFormat="1" ht="15.75" customHeight="1" thickBot="1" x14ac:dyDescent="0.25">
      <c r="A329" s="1604" t="s">
        <v>65</v>
      </c>
      <c r="B329" s="1605"/>
      <c r="C329" s="1605"/>
      <c r="D329" s="1605"/>
      <c r="E329" s="1606"/>
      <c r="F329" s="1083"/>
      <c r="G329" s="1083"/>
      <c r="H329" s="1083"/>
      <c r="I329" s="1083"/>
      <c r="J329" s="1083"/>
      <c r="K329" s="1083"/>
      <c r="L329" s="1083"/>
      <c r="M329" s="260"/>
      <c r="N329" s="1083"/>
      <c r="O329" s="1083"/>
      <c r="P329" s="1083"/>
      <c r="Q329" s="1083"/>
      <c r="R329" s="1083"/>
      <c r="S329" s="1084"/>
      <c r="T329" s="74"/>
      <c r="U329" s="74"/>
    </row>
    <row r="330" spans="1:21" s="28" customFormat="1" ht="15.75" customHeight="1" thickBot="1" x14ac:dyDescent="0.25">
      <c r="A330" s="544"/>
      <c r="B330" s="544"/>
      <c r="C330" s="1613"/>
      <c r="D330" s="1613"/>
      <c r="E330" s="396" t="s">
        <v>302</v>
      </c>
      <c r="F330" s="1083">
        <f>F126+F170+F174+F178+F182+F186+F190+F198+F210+F222+F254+F294+F306+F310+F318+F322</f>
        <v>62326633</v>
      </c>
      <c r="G330" s="1083">
        <f t="shared" ref="G330:Q330" si="199">G126+G170+G174+G178+G182+G186+G190+G198+G210+G222+G254+G294+G306+G310+G318+G322</f>
        <v>13900770</v>
      </c>
      <c r="H330" s="1083">
        <f t="shared" si="199"/>
        <v>51611171</v>
      </c>
      <c r="I330" s="1083">
        <f>I126+I170+I174+I178+I182+I186+I190+I198+I210+I222+I254+I294+I306+I310+I318+I322</f>
        <v>2100000</v>
      </c>
      <c r="J330" s="1083">
        <f>J126+J254</f>
        <v>2698059</v>
      </c>
      <c r="K330" s="1083">
        <f t="shared" ref="K330:L330" si="200">K126+K254</f>
        <v>3083040</v>
      </c>
      <c r="L330" s="1083">
        <f t="shared" si="200"/>
        <v>500000</v>
      </c>
      <c r="M330" s="1083">
        <f>SUM(F330:L330)</f>
        <v>136219673</v>
      </c>
      <c r="N330" s="1083">
        <f>N126+N170+N174+N178+N182+N186+N190+N198+N210+N222+N254+N294+N306+N310+N318+N322</f>
        <v>44658369</v>
      </c>
      <c r="O330" s="1083">
        <f t="shared" si="199"/>
        <v>0</v>
      </c>
      <c r="P330" s="1083">
        <f t="shared" si="199"/>
        <v>0</v>
      </c>
      <c r="Q330" s="1083">
        <f t="shared" si="199"/>
        <v>0</v>
      </c>
      <c r="R330" s="1083">
        <f>SUM(M330:Q330)</f>
        <v>180878042</v>
      </c>
      <c r="S330" s="1084">
        <f>4+1.5+45+2</f>
        <v>52.5</v>
      </c>
      <c r="T330" s="74"/>
      <c r="U330" s="74"/>
    </row>
    <row r="331" spans="1:21" s="28" customFormat="1" ht="15.75" customHeight="1" thickBot="1" x14ac:dyDescent="0.25">
      <c r="A331" s="544"/>
      <c r="B331" s="544"/>
      <c r="C331" s="1613"/>
      <c r="D331" s="1613"/>
      <c r="E331" s="396" t="s">
        <v>303</v>
      </c>
      <c r="F331" s="1083">
        <f t="shared" ref="F331:Q332" si="201">F127+F171+F175+F179+F183+F187+F191+F199+F211+F223+F255+F295+F307+F311+F319+F323</f>
        <v>64568123</v>
      </c>
      <c r="G331" s="1083">
        <f t="shared" si="201"/>
        <v>10278378.1</v>
      </c>
      <c r="H331" s="1083">
        <f t="shared" si="201"/>
        <v>74059099</v>
      </c>
      <c r="I331" s="1083">
        <f t="shared" si="201"/>
        <v>1760000</v>
      </c>
      <c r="J331" s="1083">
        <f t="shared" ref="J331:L332" si="202">J127+J255</f>
        <v>868066</v>
      </c>
      <c r="K331" s="1083">
        <f t="shared" si="202"/>
        <v>5400351</v>
      </c>
      <c r="L331" s="1083">
        <f t="shared" si="202"/>
        <v>500000</v>
      </c>
      <c r="M331" s="1083">
        <f t="shared" ref="M331:M340" si="203">SUM(F331:L331)</f>
        <v>157434017.09999999</v>
      </c>
      <c r="N331" s="1083">
        <f>N127+N171+N175+N179+N183+N187+N191+N199+N211+N223+N255+N295+N307+N311+N319+N323</f>
        <v>240613677.06999999</v>
      </c>
      <c r="O331" s="1083">
        <f t="shared" si="201"/>
        <v>0</v>
      </c>
      <c r="P331" s="1083">
        <f t="shared" si="201"/>
        <v>0</v>
      </c>
      <c r="Q331" s="1083">
        <f t="shared" si="201"/>
        <v>0</v>
      </c>
      <c r="R331" s="1083">
        <f t="shared" ref="R331:R332" si="204">SUM(M331:Q331)</f>
        <v>398047694.16999996</v>
      </c>
      <c r="S331" s="1084">
        <f>4+1.5+45+2-9</f>
        <v>43.5</v>
      </c>
      <c r="T331" s="74"/>
      <c r="U331" s="74"/>
    </row>
    <row r="332" spans="1:21" s="28" customFormat="1" ht="15.75" customHeight="1" thickBot="1" x14ac:dyDescent="0.25">
      <c r="A332" s="544"/>
      <c r="B332" s="544"/>
      <c r="C332" s="1613"/>
      <c r="D332" s="1613"/>
      <c r="E332" s="396" t="s">
        <v>304</v>
      </c>
      <c r="F332" s="1083">
        <f t="shared" si="201"/>
        <v>57619333</v>
      </c>
      <c r="G332" s="1083">
        <f t="shared" si="201"/>
        <v>9106203</v>
      </c>
      <c r="H332" s="1083">
        <f t="shared" si="201"/>
        <v>70818645</v>
      </c>
      <c r="I332" s="1083">
        <f t="shared" si="201"/>
        <v>1535341</v>
      </c>
      <c r="J332" s="1083">
        <f t="shared" si="202"/>
        <v>868066</v>
      </c>
      <c r="K332" s="1083">
        <f t="shared" si="202"/>
        <v>5175622</v>
      </c>
      <c r="L332" s="1083">
        <f t="shared" si="202"/>
        <v>0</v>
      </c>
      <c r="M332" s="1083">
        <f t="shared" si="203"/>
        <v>145123210</v>
      </c>
      <c r="N332" s="1083">
        <f>N128+N172+N176+N180+N184+N188+N192+N200+N212+N224+N256+N296+N312+N320+N324+N308</f>
        <v>47455634</v>
      </c>
      <c r="O332" s="1083">
        <f t="shared" si="201"/>
        <v>0</v>
      </c>
      <c r="P332" s="1083">
        <f t="shared" si="201"/>
        <v>0</v>
      </c>
      <c r="Q332" s="1083">
        <f t="shared" si="201"/>
        <v>0</v>
      </c>
      <c r="R332" s="1083">
        <f t="shared" si="204"/>
        <v>192578844</v>
      </c>
      <c r="S332" s="1084">
        <f>4+1.5+45+2-9</f>
        <v>43.5</v>
      </c>
      <c r="T332" s="74"/>
      <c r="U332" s="74"/>
    </row>
    <row r="333" spans="1:21" s="28" customFormat="1" ht="15.75" customHeight="1" thickBot="1" x14ac:dyDescent="0.25">
      <c r="A333" s="1604" t="s">
        <v>71</v>
      </c>
      <c r="B333" s="1605"/>
      <c r="C333" s="1605"/>
      <c r="D333" s="1605"/>
      <c r="E333" s="1606"/>
      <c r="F333" s="1083"/>
      <c r="G333" s="1083"/>
      <c r="H333" s="1083"/>
      <c r="I333" s="1083"/>
      <c r="J333" s="1083"/>
      <c r="K333" s="1083"/>
      <c r="L333" s="1083"/>
      <c r="M333" s="1083">
        <f t="shared" si="203"/>
        <v>0</v>
      </c>
      <c r="N333" s="1083"/>
      <c r="O333" s="1083"/>
      <c r="P333" s="1083"/>
      <c r="Q333" s="1083"/>
      <c r="R333" s="1083"/>
      <c r="S333" s="1084"/>
      <c r="T333" s="74"/>
      <c r="U333" s="74"/>
    </row>
    <row r="334" spans="1:21" s="28" customFormat="1" ht="15.75" customHeight="1" thickBot="1" x14ac:dyDescent="0.25">
      <c r="A334" s="544"/>
      <c r="B334" s="544"/>
      <c r="C334" s="1613"/>
      <c r="D334" s="1613"/>
      <c r="E334" s="396" t="s">
        <v>302</v>
      </c>
      <c r="F334" s="1083"/>
      <c r="G334" s="1083"/>
      <c r="H334" s="1083"/>
      <c r="I334" s="1083"/>
      <c r="J334" s="1083"/>
      <c r="K334" s="1083"/>
      <c r="L334" s="1083"/>
      <c r="M334" s="1083">
        <f t="shared" si="203"/>
        <v>0</v>
      </c>
      <c r="N334" s="1083"/>
      <c r="O334" s="1083"/>
      <c r="P334" s="1083"/>
      <c r="Q334" s="1083"/>
      <c r="R334" s="1083"/>
      <c r="S334" s="1084"/>
      <c r="T334" s="74"/>
      <c r="U334" s="74"/>
    </row>
    <row r="335" spans="1:21" s="28" customFormat="1" ht="15.75" customHeight="1" thickBot="1" x14ac:dyDescent="0.25">
      <c r="A335" s="544"/>
      <c r="B335" s="544"/>
      <c r="C335" s="1613"/>
      <c r="D335" s="1613"/>
      <c r="E335" s="396" t="s">
        <v>303</v>
      </c>
      <c r="F335" s="1083"/>
      <c r="G335" s="1083"/>
      <c r="H335" s="1083"/>
      <c r="I335" s="1083"/>
      <c r="J335" s="1083"/>
      <c r="K335" s="1083"/>
      <c r="L335" s="1083"/>
      <c r="M335" s="1083">
        <f t="shared" si="203"/>
        <v>0</v>
      </c>
      <c r="N335" s="1083"/>
      <c r="O335" s="1083"/>
      <c r="P335" s="1083"/>
      <c r="Q335" s="1083"/>
      <c r="R335" s="1083"/>
      <c r="S335" s="1084"/>
      <c r="T335" s="74"/>
      <c r="U335" s="74"/>
    </row>
    <row r="336" spans="1:21" s="28" customFormat="1" ht="15.75" customHeight="1" thickBot="1" x14ac:dyDescent="0.25">
      <c r="A336" s="544"/>
      <c r="B336" s="544"/>
      <c r="C336" s="1613"/>
      <c r="D336" s="1613"/>
      <c r="E336" s="396" t="s">
        <v>304</v>
      </c>
      <c r="F336" s="1083"/>
      <c r="G336" s="1083"/>
      <c r="H336" s="1083"/>
      <c r="I336" s="1083"/>
      <c r="J336" s="1083"/>
      <c r="K336" s="1083"/>
      <c r="L336" s="1083"/>
      <c r="M336" s="1083">
        <f t="shared" si="203"/>
        <v>0</v>
      </c>
      <c r="N336" s="1083"/>
      <c r="O336" s="1083"/>
      <c r="P336" s="1083"/>
      <c r="Q336" s="1083"/>
      <c r="R336" s="1083"/>
      <c r="S336" s="1084"/>
      <c r="T336" s="74"/>
      <c r="U336" s="74"/>
    </row>
    <row r="337" spans="1:21" s="28" customFormat="1" ht="15.75" customHeight="1" thickBot="1" x14ac:dyDescent="0.25">
      <c r="A337" s="1604" t="s">
        <v>66</v>
      </c>
      <c r="B337" s="1605"/>
      <c r="C337" s="1605"/>
      <c r="D337" s="1605"/>
      <c r="E337" s="1606"/>
      <c r="F337" s="1083"/>
      <c r="G337" s="1083"/>
      <c r="H337" s="1083"/>
      <c r="I337" s="1083"/>
      <c r="J337" s="1083"/>
      <c r="K337" s="1083"/>
      <c r="L337" s="1083"/>
      <c r="M337" s="1083"/>
      <c r="N337" s="1083"/>
      <c r="O337" s="1083"/>
      <c r="P337" s="1083"/>
      <c r="Q337" s="1083"/>
      <c r="R337" s="1083"/>
      <c r="S337" s="1084"/>
      <c r="T337" s="369"/>
      <c r="U337" s="75"/>
    </row>
    <row r="338" spans="1:21" s="28" customFormat="1" ht="15.75" customHeight="1" thickBot="1" x14ac:dyDescent="0.25">
      <c r="A338" s="544"/>
      <c r="B338" s="544"/>
      <c r="C338" s="1613"/>
      <c r="D338" s="1613"/>
      <c r="E338" s="396" t="s">
        <v>302</v>
      </c>
      <c r="F338" s="1083">
        <f>F314+F258+F218+F214+F202+F130</f>
        <v>300000</v>
      </c>
      <c r="G338" s="1083">
        <f t="shared" ref="G338:R338" si="205">G314+G258+G218+G214+G202+G130</f>
        <v>66000</v>
      </c>
      <c r="H338" s="1083">
        <f t="shared" si="205"/>
        <v>750000</v>
      </c>
      <c r="I338" s="1083">
        <f t="shared" si="205"/>
        <v>500000</v>
      </c>
      <c r="J338" s="1083">
        <f>J314+J258+J218+J214+J202+J130</f>
        <v>30000</v>
      </c>
      <c r="K338" s="1083">
        <f t="shared" si="205"/>
        <v>0</v>
      </c>
      <c r="L338" s="1083">
        <f t="shared" si="205"/>
        <v>0</v>
      </c>
      <c r="M338" s="1083">
        <f t="shared" si="203"/>
        <v>1646000</v>
      </c>
      <c r="N338" s="1083">
        <f t="shared" si="205"/>
        <v>0</v>
      </c>
      <c r="O338" s="1083">
        <f t="shared" si="205"/>
        <v>0</v>
      </c>
      <c r="P338" s="1083">
        <f t="shared" si="205"/>
        <v>0</v>
      </c>
      <c r="Q338" s="1083">
        <f t="shared" si="205"/>
        <v>0</v>
      </c>
      <c r="R338" s="1083">
        <f t="shared" si="205"/>
        <v>1616000</v>
      </c>
      <c r="S338" s="1084"/>
      <c r="T338" s="369"/>
      <c r="U338" s="75"/>
    </row>
    <row r="339" spans="1:21" s="28" customFormat="1" ht="15.75" customHeight="1" thickBot="1" x14ac:dyDescent="0.25">
      <c r="A339" s="544"/>
      <c r="B339" s="544"/>
      <c r="C339" s="1613"/>
      <c r="D339" s="1613"/>
      <c r="E339" s="396" t="s">
        <v>303</v>
      </c>
      <c r="F339" s="1083">
        <f t="shared" ref="F339:R340" si="206">F315+F259+F219+F215+F203+F131</f>
        <v>869999</v>
      </c>
      <c r="G339" s="1083">
        <f t="shared" si="206"/>
        <v>138189</v>
      </c>
      <c r="H339" s="1083">
        <f t="shared" si="206"/>
        <v>8737819</v>
      </c>
      <c r="I339" s="1083">
        <f t="shared" si="206"/>
        <v>840000</v>
      </c>
      <c r="J339" s="1083">
        <f t="shared" si="206"/>
        <v>75000</v>
      </c>
      <c r="K339" s="1083">
        <f t="shared" si="206"/>
        <v>340000</v>
      </c>
      <c r="L339" s="1083">
        <f t="shared" si="206"/>
        <v>0</v>
      </c>
      <c r="M339" s="1083">
        <f t="shared" si="203"/>
        <v>11001007</v>
      </c>
      <c r="N339" s="1083">
        <f t="shared" si="206"/>
        <v>0</v>
      </c>
      <c r="O339" s="1083">
        <f t="shared" si="206"/>
        <v>0</v>
      </c>
      <c r="P339" s="1083">
        <f t="shared" si="206"/>
        <v>0</v>
      </c>
      <c r="Q339" s="1083">
        <f t="shared" si="206"/>
        <v>0</v>
      </c>
      <c r="R339" s="1083">
        <f t="shared" si="206"/>
        <v>10926007</v>
      </c>
      <c r="S339" s="1084"/>
      <c r="T339" s="369"/>
      <c r="U339" s="75"/>
    </row>
    <row r="340" spans="1:21" s="28" customFormat="1" ht="15.75" customHeight="1" thickBot="1" x14ac:dyDescent="0.25">
      <c r="A340" s="544"/>
      <c r="B340" s="544"/>
      <c r="C340" s="1613"/>
      <c r="D340" s="1613"/>
      <c r="E340" s="396" t="s">
        <v>304</v>
      </c>
      <c r="F340" s="1083">
        <f t="shared" si="206"/>
        <v>869758</v>
      </c>
      <c r="G340" s="1083">
        <f t="shared" si="206"/>
        <v>72079</v>
      </c>
      <c r="H340" s="1083">
        <f t="shared" si="206"/>
        <v>8714908</v>
      </c>
      <c r="I340" s="1083">
        <f t="shared" si="206"/>
        <v>839590</v>
      </c>
      <c r="J340" s="1083">
        <f t="shared" si="206"/>
        <v>75000</v>
      </c>
      <c r="K340" s="1083">
        <f t="shared" si="206"/>
        <v>340000</v>
      </c>
      <c r="L340" s="1083">
        <f t="shared" si="206"/>
        <v>0</v>
      </c>
      <c r="M340" s="1083">
        <f t="shared" si="203"/>
        <v>10911335</v>
      </c>
      <c r="N340" s="1083">
        <f>N316+N260+N220+N216+N204+N132</f>
        <v>0</v>
      </c>
      <c r="O340" s="1083">
        <f t="shared" si="206"/>
        <v>0</v>
      </c>
      <c r="P340" s="1083">
        <f t="shared" si="206"/>
        <v>0</v>
      </c>
      <c r="Q340" s="1083">
        <f t="shared" si="206"/>
        <v>0</v>
      </c>
      <c r="R340" s="1083">
        <f t="shared" si="206"/>
        <v>10836335</v>
      </c>
      <c r="S340" s="1084"/>
      <c r="T340" s="369"/>
      <c r="U340" s="75"/>
    </row>
    <row r="341" spans="1:21" s="23" customFormat="1" ht="15.75" customHeight="1" x14ac:dyDescent="0.2">
      <c r="A341" s="1608" t="s">
        <v>45</v>
      </c>
      <c r="B341" s="1609"/>
      <c r="C341" s="1609"/>
      <c r="D341" s="1609"/>
      <c r="E341" s="1609"/>
      <c r="F341" s="1609"/>
      <c r="G341" s="1609"/>
      <c r="H341" s="1609"/>
      <c r="I341" s="1609"/>
      <c r="J341" s="1609"/>
      <c r="K341" s="1609"/>
      <c r="L341" s="1609"/>
      <c r="M341" s="1609"/>
      <c r="N341" s="1609"/>
      <c r="O341" s="1609"/>
      <c r="P341" s="1609"/>
      <c r="Q341" s="1609"/>
      <c r="R341" s="1609"/>
      <c r="S341" s="1609"/>
      <c r="T341" s="73"/>
      <c r="U341" s="73"/>
    </row>
    <row r="342" spans="1:21" s="23" customFormat="1" ht="24.75" customHeight="1" x14ac:dyDescent="0.2">
      <c r="A342" s="445"/>
      <c r="B342" s="421"/>
      <c r="C342" s="1740" t="s">
        <v>347</v>
      </c>
      <c r="D342" s="1733" t="s">
        <v>54</v>
      </c>
      <c r="E342" s="453" t="s">
        <v>196</v>
      </c>
      <c r="F342" s="454"/>
      <c r="G342" s="454"/>
      <c r="H342" s="454"/>
      <c r="I342" s="454"/>
      <c r="J342" s="454"/>
      <c r="K342" s="454"/>
      <c r="L342" s="454"/>
      <c r="M342" s="454"/>
      <c r="N342" s="454"/>
      <c r="O342" s="454"/>
      <c r="P342" s="454"/>
      <c r="Q342" s="454"/>
      <c r="R342" s="454"/>
      <c r="S342" s="455"/>
      <c r="T342" s="73"/>
      <c r="U342" s="73"/>
    </row>
    <row r="343" spans="1:21" s="23" customFormat="1" ht="15.75" customHeight="1" x14ac:dyDescent="0.2">
      <c r="A343" s="445"/>
      <c r="B343" s="421"/>
      <c r="C343" s="1741"/>
      <c r="D343" s="1734"/>
      <c r="E343" s="308" t="s">
        <v>302</v>
      </c>
      <c r="F343" s="454"/>
      <c r="G343" s="454"/>
      <c r="H343" s="454"/>
      <c r="I343" s="454"/>
      <c r="J343" s="454">
        <v>25000000</v>
      </c>
      <c r="K343" s="454"/>
      <c r="L343" s="454"/>
      <c r="M343" s="454">
        <f>SUM(F343:L343)</f>
        <v>25000000</v>
      </c>
      <c r="N343" s="454"/>
      <c r="O343" s="454"/>
      <c r="P343" s="454"/>
      <c r="Q343" s="454"/>
      <c r="R343" s="454">
        <f>SUM(M343:Q343)</f>
        <v>25000000</v>
      </c>
      <c r="S343" s="456"/>
      <c r="T343" s="73"/>
      <c r="U343" s="73"/>
    </row>
    <row r="344" spans="1:21" s="23" customFormat="1" ht="15.75" customHeight="1" x14ac:dyDescent="0.2">
      <c r="A344" s="422">
        <v>19</v>
      </c>
      <c r="B344" s="444"/>
      <c r="C344" s="1741"/>
      <c r="D344" s="1734"/>
      <c r="E344" s="308" t="s">
        <v>303</v>
      </c>
      <c r="F344" s="457"/>
      <c r="G344" s="457"/>
      <c r="H344" s="457"/>
      <c r="I344" s="457"/>
      <c r="J344" s="458">
        <f>75000000+25000000</f>
        <v>100000000</v>
      </c>
      <c r="K344" s="457"/>
      <c r="L344" s="457"/>
      <c r="M344" s="454">
        <f t="shared" ref="M344:M345" si="207">SUM(F344:L344)</f>
        <v>100000000</v>
      </c>
      <c r="N344" s="458"/>
      <c r="O344" s="987"/>
      <c r="P344" s="457">
        <v>0</v>
      </c>
      <c r="Q344" s="457"/>
      <c r="R344" s="454">
        <f t="shared" ref="R344:R345" si="208">SUM(M344:Q344)</f>
        <v>100000000</v>
      </c>
      <c r="S344" s="459">
        <v>0</v>
      </c>
      <c r="T344" s="73"/>
      <c r="U344" s="73"/>
    </row>
    <row r="345" spans="1:21" s="23" customFormat="1" ht="15.75" customHeight="1" x14ac:dyDescent="0.2">
      <c r="A345" s="422"/>
      <c r="B345" s="444"/>
      <c r="C345" s="1742"/>
      <c r="D345" s="1736"/>
      <c r="E345" s="308" t="s">
        <v>304</v>
      </c>
      <c r="F345" s="457"/>
      <c r="G345" s="457"/>
      <c r="H345" s="457"/>
      <c r="I345" s="457"/>
      <c r="J345" s="457">
        <v>97851110</v>
      </c>
      <c r="K345" s="457"/>
      <c r="L345" s="457"/>
      <c r="M345" s="454">
        <f t="shared" si="207"/>
        <v>97851110</v>
      </c>
      <c r="N345" s="457"/>
      <c r="O345" s="988"/>
      <c r="P345" s="457"/>
      <c r="Q345" s="457"/>
      <c r="R345" s="454">
        <f t="shared" si="208"/>
        <v>97851110</v>
      </c>
      <c r="S345" s="459"/>
      <c r="T345" s="73"/>
      <c r="U345" s="73"/>
    </row>
    <row r="346" spans="1:21" s="23" customFormat="1" ht="27.75" customHeight="1" x14ac:dyDescent="0.2">
      <c r="A346" s="422"/>
      <c r="B346" s="161"/>
      <c r="C346" s="1743" t="s">
        <v>348</v>
      </c>
      <c r="D346" s="1733" t="s">
        <v>54</v>
      </c>
      <c r="E346" s="460" t="s">
        <v>197</v>
      </c>
      <c r="F346" s="225"/>
      <c r="G346" s="225"/>
      <c r="H346" s="225"/>
      <c r="I346" s="225"/>
      <c r="J346" s="225"/>
      <c r="K346" s="225"/>
      <c r="L346" s="225"/>
      <c r="M346" s="225"/>
      <c r="N346" s="225"/>
      <c r="O346" s="989"/>
      <c r="P346" s="225"/>
      <c r="Q346" s="225"/>
      <c r="R346" s="226"/>
      <c r="S346" s="461"/>
      <c r="T346" s="73"/>
      <c r="U346" s="73"/>
    </row>
    <row r="347" spans="1:21" s="23" customFormat="1" ht="15.75" customHeight="1" x14ac:dyDescent="0.2">
      <c r="A347" s="422"/>
      <c r="B347" s="161"/>
      <c r="C347" s="1744"/>
      <c r="D347" s="1734"/>
      <c r="E347" s="308" t="s">
        <v>302</v>
      </c>
      <c r="F347" s="231"/>
      <c r="G347" s="225"/>
      <c r="H347" s="225"/>
      <c r="I347" s="225"/>
      <c r="J347" s="225"/>
      <c r="K347" s="225">
        <v>0</v>
      </c>
      <c r="L347" s="225"/>
      <c r="M347" s="225">
        <f>SUM(K347:L347)</f>
        <v>0</v>
      </c>
      <c r="N347" s="225"/>
      <c r="O347" s="989"/>
      <c r="P347" s="225"/>
      <c r="Q347" s="225"/>
      <c r="R347" s="226">
        <f>SUM(M347:Q347)</f>
        <v>0</v>
      </c>
      <c r="S347" s="461"/>
      <c r="T347" s="73"/>
      <c r="U347" s="73"/>
    </row>
    <row r="348" spans="1:21" s="23" customFormat="1" ht="15.75" customHeight="1" x14ac:dyDescent="0.2">
      <c r="A348" s="422">
        <v>20</v>
      </c>
      <c r="B348" s="161"/>
      <c r="C348" s="1744"/>
      <c r="D348" s="1734"/>
      <c r="E348" s="308" t="s">
        <v>303</v>
      </c>
      <c r="F348" s="231"/>
      <c r="G348" s="231"/>
      <c r="H348" s="231"/>
      <c r="I348" s="231"/>
      <c r="J348" s="231"/>
      <c r="K348" s="231">
        <v>6484529</v>
      </c>
      <c r="L348" s="231"/>
      <c r="M348" s="231">
        <f>K348</f>
        <v>6484529</v>
      </c>
      <c r="N348" s="231"/>
      <c r="O348" s="232"/>
      <c r="P348" s="231"/>
      <c r="Q348" s="231"/>
      <c r="R348" s="226">
        <f t="shared" ref="R348:R349" si="209">SUM(M348:Q348)</f>
        <v>6484529</v>
      </c>
      <c r="S348" s="462"/>
      <c r="T348" s="73"/>
      <c r="U348" s="73"/>
    </row>
    <row r="349" spans="1:21" s="23" customFormat="1" ht="15.75" customHeight="1" thickBot="1" x14ac:dyDescent="0.25">
      <c r="A349" s="423"/>
      <c r="B349" s="424"/>
      <c r="C349" s="1745"/>
      <c r="D349" s="1735"/>
      <c r="E349" s="308" t="s">
        <v>304</v>
      </c>
      <c r="F349" s="463"/>
      <c r="G349" s="463"/>
      <c r="H349" s="463"/>
      <c r="I349" s="463"/>
      <c r="J349" s="463"/>
      <c r="K349" s="463">
        <v>6484529</v>
      </c>
      <c r="L349" s="463"/>
      <c r="M349" s="463">
        <f>K349</f>
        <v>6484529</v>
      </c>
      <c r="N349" s="464"/>
      <c r="O349" s="465"/>
      <c r="P349" s="463"/>
      <c r="Q349" s="463"/>
      <c r="R349" s="226">
        <f t="shared" si="209"/>
        <v>6484529</v>
      </c>
      <c r="S349" s="466"/>
      <c r="T349" s="73"/>
      <c r="U349" s="73"/>
    </row>
    <row r="350" spans="1:21" ht="22.5" customHeight="1" thickBot="1" x14ac:dyDescent="0.25">
      <c r="A350" s="1610" t="s">
        <v>729</v>
      </c>
      <c r="B350" s="1610"/>
      <c r="C350" s="1610"/>
      <c r="D350" s="1610"/>
      <c r="E350" s="1610"/>
      <c r="F350" s="1060"/>
      <c r="G350" s="1061"/>
      <c r="H350" s="1061"/>
      <c r="I350" s="1061"/>
      <c r="J350" s="1061"/>
      <c r="K350" s="1061"/>
      <c r="L350" s="1061"/>
      <c r="M350" s="1061"/>
      <c r="N350" s="1062"/>
      <c r="O350" s="1062"/>
      <c r="P350" s="1061"/>
      <c r="Q350" s="1061"/>
      <c r="R350" s="1061"/>
      <c r="S350" s="1063"/>
      <c r="T350" s="76"/>
      <c r="U350" s="101"/>
    </row>
    <row r="351" spans="1:21" ht="15.75" customHeight="1" thickBot="1" x14ac:dyDescent="0.25">
      <c r="A351" s="546"/>
      <c r="B351" s="546"/>
      <c r="C351" s="1746"/>
      <c r="D351" s="1747"/>
      <c r="E351" s="396" t="s">
        <v>302</v>
      </c>
      <c r="F351" s="1064"/>
      <c r="G351" s="1064"/>
      <c r="H351" s="1064"/>
      <c r="I351" s="1064"/>
      <c r="J351" s="1062">
        <f>J343</f>
        <v>25000000</v>
      </c>
      <c r="K351" s="1062">
        <f>K347</f>
        <v>0</v>
      </c>
      <c r="L351" s="1062"/>
      <c r="M351" s="1062">
        <f>SUM(F351:L351)</f>
        <v>25000000</v>
      </c>
      <c r="N351" s="1062"/>
      <c r="O351" s="1062"/>
      <c r="P351" s="1062"/>
      <c r="Q351" s="1062"/>
      <c r="R351" s="1065">
        <f>SUM(M351:Q351)</f>
        <v>25000000</v>
      </c>
      <c r="S351" s="398"/>
      <c r="T351" s="76"/>
      <c r="U351" s="101"/>
    </row>
    <row r="352" spans="1:21" ht="15.75" customHeight="1" thickBot="1" x14ac:dyDescent="0.25">
      <c r="A352" s="546"/>
      <c r="B352" s="546"/>
      <c r="C352" s="1748"/>
      <c r="D352" s="1749"/>
      <c r="E352" s="396" t="s">
        <v>303</v>
      </c>
      <c r="F352" s="1064"/>
      <c r="G352" s="1064"/>
      <c r="H352" s="1064"/>
      <c r="I352" s="1064"/>
      <c r="J352" s="1062">
        <f t="shared" ref="J352:J353" si="210">J344</f>
        <v>100000000</v>
      </c>
      <c r="K352" s="1062">
        <f t="shared" ref="K352:K353" si="211">K348</f>
        <v>6484529</v>
      </c>
      <c r="L352" s="1062"/>
      <c r="M352" s="1062">
        <f t="shared" ref="M352:M353" si="212">SUM(F352:L352)</f>
        <v>106484529</v>
      </c>
      <c r="N352" s="1062"/>
      <c r="O352" s="1062"/>
      <c r="P352" s="1062"/>
      <c r="Q352" s="1062"/>
      <c r="R352" s="1065">
        <f t="shared" ref="R352:R353" si="213">SUM(M352:Q352)</f>
        <v>106484529</v>
      </c>
      <c r="S352" s="398"/>
      <c r="T352" s="76"/>
      <c r="U352" s="101"/>
    </row>
    <row r="353" spans="1:22" ht="15.75" customHeight="1" thickBot="1" x14ac:dyDescent="0.25">
      <c r="A353" s="546"/>
      <c r="B353" s="546"/>
      <c r="C353" s="1750"/>
      <c r="D353" s="1751"/>
      <c r="E353" s="396" t="s">
        <v>304</v>
      </c>
      <c r="F353" s="1064"/>
      <c r="G353" s="1064"/>
      <c r="H353" s="1064"/>
      <c r="I353" s="1064"/>
      <c r="J353" s="1062">
        <f t="shared" si="210"/>
        <v>97851110</v>
      </c>
      <c r="K353" s="1062">
        <f t="shared" si="211"/>
        <v>6484529</v>
      </c>
      <c r="L353" s="1062"/>
      <c r="M353" s="1062">
        <f t="shared" si="212"/>
        <v>104335639</v>
      </c>
      <c r="N353" s="1062"/>
      <c r="O353" s="1062"/>
      <c r="P353" s="1062"/>
      <c r="Q353" s="1062"/>
      <c r="R353" s="1065">
        <f t="shared" si="213"/>
        <v>104335639</v>
      </c>
      <c r="S353" s="398"/>
      <c r="T353" s="76"/>
      <c r="U353" s="101"/>
    </row>
    <row r="354" spans="1:22" ht="15.75" customHeight="1" thickBot="1" x14ac:dyDescent="0.25">
      <c r="A354" s="1601" t="s">
        <v>180</v>
      </c>
      <c r="B354" s="1601"/>
      <c r="C354" s="1601"/>
      <c r="D354" s="1601"/>
      <c r="E354" s="1601"/>
      <c r="F354" s="1066"/>
      <c r="G354" s="1066"/>
      <c r="H354" s="1066"/>
      <c r="I354" s="1066"/>
      <c r="J354" s="1066"/>
      <c r="K354" s="1066"/>
      <c r="L354" s="1066"/>
      <c r="M354" s="1066"/>
      <c r="N354" s="1067"/>
      <c r="O354" s="1066"/>
      <c r="P354" s="1066"/>
      <c r="Q354" s="1066"/>
      <c r="R354" s="1068"/>
      <c r="S354" s="1069"/>
      <c r="T354" s="76"/>
      <c r="U354" s="76"/>
    </row>
    <row r="355" spans="1:22" ht="15.75" customHeight="1" thickBot="1" x14ac:dyDescent="0.25">
      <c r="A355" s="1070"/>
      <c r="B355" s="1070"/>
      <c r="C355" s="1611"/>
      <c r="D355" s="1611"/>
      <c r="E355" s="1071" t="s">
        <v>302</v>
      </c>
      <c r="F355" s="1066">
        <f>F359+F363+F367</f>
        <v>149614061</v>
      </c>
      <c r="G355" s="1066">
        <f t="shared" ref="G355:L355" si="214">G359+G363+G367</f>
        <v>33904878</v>
      </c>
      <c r="H355" s="1066">
        <f t="shared" si="214"/>
        <v>95606233</v>
      </c>
      <c r="I355" s="1066">
        <f t="shared" si="214"/>
        <v>3848000</v>
      </c>
      <c r="J355" s="1066">
        <f>J359+J363+J367</f>
        <v>2728059</v>
      </c>
      <c r="K355" s="1066">
        <f t="shared" si="214"/>
        <v>3083040</v>
      </c>
      <c r="L355" s="1066">
        <f t="shared" si="214"/>
        <v>500000</v>
      </c>
      <c r="M355" s="1066">
        <f>SUM(F355:L355)</f>
        <v>289284271</v>
      </c>
      <c r="N355" s="1067">
        <f>N359+N363+N367</f>
        <v>45658369</v>
      </c>
      <c r="O355" s="1066"/>
      <c r="P355" s="1066"/>
      <c r="Q355" s="1066"/>
      <c r="R355" s="1068">
        <f>SUM(M355:Q355)</f>
        <v>334942640</v>
      </c>
      <c r="S355" s="1069"/>
      <c r="T355" s="61"/>
      <c r="U355" s="76"/>
    </row>
    <row r="356" spans="1:22" ht="15.75" customHeight="1" thickBot="1" x14ac:dyDescent="0.25">
      <c r="A356" s="1070"/>
      <c r="B356" s="1070"/>
      <c r="C356" s="1611"/>
      <c r="D356" s="1611"/>
      <c r="E356" s="1071" t="s">
        <v>303</v>
      </c>
      <c r="F356" s="1066">
        <f t="shared" ref="F356:L357" si="215">F360+F364+F368</f>
        <v>154706502</v>
      </c>
      <c r="G356" s="1066">
        <f t="shared" si="215"/>
        <v>29573173.100000001</v>
      </c>
      <c r="H356" s="1066">
        <f t="shared" si="215"/>
        <v>124951971</v>
      </c>
      <c r="I356" s="1066">
        <f t="shared" si="215"/>
        <v>4419000</v>
      </c>
      <c r="J356" s="1066">
        <f t="shared" si="215"/>
        <v>943066</v>
      </c>
      <c r="K356" s="1066">
        <f t="shared" si="215"/>
        <v>5740351</v>
      </c>
      <c r="L356" s="1066">
        <f t="shared" si="215"/>
        <v>500000</v>
      </c>
      <c r="M356" s="1066">
        <f t="shared" ref="M356:M357" si="216">SUM(F356:L356)</f>
        <v>320834063.10000002</v>
      </c>
      <c r="N356" s="1067">
        <f t="shared" ref="N356" si="217">N360+N364+N368</f>
        <v>242389206.06999999</v>
      </c>
      <c r="O356" s="1066"/>
      <c r="P356" s="1066"/>
      <c r="Q356" s="1066"/>
      <c r="R356" s="1068">
        <f t="shared" ref="R356:R369" si="218">SUM(M356:Q356)</f>
        <v>563223269.17000008</v>
      </c>
      <c r="S356" s="1069"/>
      <c r="T356" s="61"/>
      <c r="U356" s="76"/>
    </row>
    <row r="357" spans="1:22" ht="15.75" customHeight="1" thickBot="1" x14ac:dyDescent="0.25">
      <c r="A357" s="1070"/>
      <c r="B357" s="1070"/>
      <c r="C357" s="1611"/>
      <c r="D357" s="1611"/>
      <c r="E357" s="1071" t="s">
        <v>304</v>
      </c>
      <c r="F357" s="1066">
        <f>F361+F365+F369</f>
        <v>142168033</v>
      </c>
      <c r="G357" s="1066">
        <f t="shared" si="215"/>
        <v>27899609</v>
      </c>
      <c r="H357" s="1066">
        <f>H361+H365+H369+1</f>
        <v>119799500.39999999</v>
      </c>
      <c r="I357" s="1066">
        <f t="shared" si="215"/>
        <v>4193931</v>
      </c>
      <c r="J357" s="1066">
        <f t="shared" si="215"/>
        <v>943066</v>
      </c>
      <c r="K357" s="1066">
        <f t="shared" si="215"/>
        <v>5515622</v>
      </c>
      <c r="L357" s="1066">
        <f t="shared" si="215"/>
        <v>0</v>
      </c>
      <c r="M357" s="1066">
        <f t="shared" si="216"/>
        <v>300519761.39999998</v>
      </c>
      <c r="N357" s="1067">
        <f>N361+N365+N369+1</f>
        <v>49102277.43</v>
      </c>
      <c r="O357" s="1066"/>
      <c r="P357" s="1066"/>
      <c r="Q357" s="1066"/>
      <c r="R357" s="1068">
        <f t="shared" si="218"/>
        <v>349622038.82999998</v>
      </c>
      <c r="S357" s="1069"/>
      <c r="T357" s="61"/>
      <c r="U357" s="76"/>
    </row>
    <row r="358" spans="1:22" s="26" customFormat="1" ht="15.75" customHeight="1" thickBot="1" x14ac:dyDescent="0.25">
      <c r="A358" s="1602" t="s">
        <v>65</v>
      </c>
      <c r="B358" s="1602"/>
      <c r="C358" s="1602"/>
      <c r="D358" s="1602"/>
      <c r="E358" s="1602"/>
      <c r="F358" s="1072"/>
      <c r="G358" s="1072"/>
      <c r="H358" s="1072"/>
      <c r="I358" s="1072"/>
      <c r="J358" s="1072"/>
      <c r="K358" s="1072"/>
      <c r="L358" s="1072"/>
      <c r="M358" s="1073"/>
      <c r="N358" s="1072"/>
      <c r="O358" s="1072"/>
      <c r="P358" s="1072"/>
      <c r="Q358" s="1072"/>
      <c r="R358" s="1068"/>
      <c r="S358" s="1074"/>
      <c r="T358" s="62"/>
      <c r="U358" s="77"/>
    </row>
    <row r="359" spans="1:22" s="26" customFormat="1" ht="15.75" customHeight="1" thickBot="1" x14ac:dyDescent="0.25">
      <c r="A359" s="1075"/>
      <c r="B359" s="1075"/>
      <c r="C359" s="1603"/>
      <c r="D359" s="1603"/>
      <c r="E359" s="1076" t="s">
        <v>302</v>
      </c>
      <c r="F359" s="1072">
        <f>F330+F109</f>
        <v>140168263</v>
      </c>
      <c r="G359" s="1072">
        <f t="shared" ref="G359:Q359" si="219">G330+G109</f>
        <v>31735344</v>
      </c>
      <c r="H359" s="1072">
        <f t="shared" si="219"/>
        <v>86451592</v>
      </c>
      <c r="I359" s="1072">
        <f t="shared" si="219"/>
        <v>3348000</v>
      </c>
      <c r="J359" s="1072">
        <f>J330+J109</f>
        <v>2698059</v>
      </c>
      <c r="K359" s="1072">
        <f t="shared" si="219"/>
        <v>3083040</v>
      </c>
      <c r="L359" s="1072">
        <f t="shared" si="219"/>
        <v>500000</v>
      </c>
      <c r="M359" s="1072">
        <f t="shared" si="219"/>
        <v>267984298</v>
      </c>
      <c r="N359" s="1072">
        <f>N330+N109</f>
        <v>45158369</v>
      </c>
      <c r="O359" s="1072">
        <f t="shared" si="219"/>
        <v>0</v>
      </c>
      <c r="P359" s="1072">
        <f t="shared" si="219"/>
        <v>0</v>
      </c>
      <c r="Q359" s="1072">
        <f t="shared" si="219"/>
        <v>0</v>
      </c>
      <c r="R359" s="1068">
        <f t="shared" si="218"/>
        <v>313142667</v>
      </c>
      <c r="S359" s="1074"/>
      <c r="T359" s="62"/>
      <c r="U359" s="77"/>
    </row>
    <row r="360" spans="1:22" s="26" customFormat="1" ht="15.75" customHeight="1" thickBot="1" x14ac:dyDescent="0.25">
      <c r="A360" s="1075"/>
      <c r="B360" s="1075"/>
      <c r="C360" s="1603"/>
      <c r="D360" s="1603"/>
      <c r="E360" s="1076" t="s">
        <v>303</v>
      </c>
      <c r="F360" s="1072">
        <f t="shared" ref="F360:Q361" si="220">F331+F110</f>
        <v>142547790</v>
      </c>
      <c r="G360" s="1072">
        <f t="shared" si="220"/>
        <v>26912943.100000001</v>
      </c>
      <c r="H360" s="1072">
        <f t="shared" si="220"/>
        <v>111714152</v>
      </c>
      <c r="I360" s="1072">
        <f t="shared" si="220"/>
        <v>3579000</v>
      </c>
      <c r="J360" s="1072">
        <f t="shared" si="220"/>
        <v>868066</v>
      </c>
      <c r="K360" s="1072">
        <f t="shared" si="220"/>
        <v>5400351</v>
      </c>
      <c r="L360" s="1072">
        <f t="shared" si="220"/>
        <v>500000</v>
      </c>
      <c r="M360" s="1072">
        <f t="shared" si="220"/>
        <v>291522302.10000002</v>
      </c>
      <c r="N360" s="1072">
        <f t="shared" si="220"/>
        <v>241859206.06999999</v>
      </c>
      <c r="O360" s="1072">
        <f t="shared" si="220"/>
        <v>0</v>
      </c>
      <c r="P360" s="1072">
        <f t="shared" si="220"/>
        <v>0</v>
      </c>
      <c r="Q360" s="1072">
        <f t="shared" si="220"/>
        <v>0</v>
      </c>
      <c r="R360" s="1068">
        <f t="shared" si="218"/>
        <v>533381508.17000002</v>
      </c>
      <c r="S360" s="1074"/>
      <c r="T360" s="62"/>
      <c r="U360" s="77"/>
    </row>
    <row r="361" spans="1:22" s="26" customFormat="1" ht="15.75" customHeight="1" thickBot="1" x14ac:dyDescent="0.25">
      <c r="A361" s="1075"/>
      <c r="B361" s="1075"/>
      <c r="C361" s="1603"/>
      <c r="D361" s="1603"/>
      <c r="E361" s="1076" t="s">
        <v>304</v>
      </c>
      <c r="F361" s="1072">
        <f>F332+F111</f>
        <v>130009562</v>
      </c>
      <c r="G361" s="1072">
        <f t="shared" si="220"/>
        <v>25305489</v>
      </c>
      <c r="H361" s="1072">
        <f t="shared" si="220"/>
        <v>107057222.66</v>
      </c>
      <c r="I361" s="1072">
        <f t="shared" si="220"/>
        <v>3354341</v>
      </c>
      <c r="J361" s="1072">
        <f t="shared" si="220"/>
        <v>868066</v>
      </c>
      <c r="K361" s="1072">
        <f t="shared" si="220"/>
        <v>5175622</v>
      </c>
      <c r="L361" s="1072">
        <f t="shared" si="220"/>
        <v>0</v>
      </c>
      <c r="M361" s="1072">
        <f t="shared" si="220"/>
        <v>271770302.65999997</v>
      </c>
      <c r="N361" s="1072">
        <f>N332+N111</f>
        <v>48590427.780000001</v>
      </c>
      <c r="O361" s="1072">
        <f t="shared" si="220"/>
        <v>0</v>
      </c>
      <c r="P361" s="1072">
        <f t="shared" si="220"/>
        <v>0</v>
      </c>
      <c r="Q361" s="1072">
        <f t="shared" si="220"/>
        <v>0</v>
      </c>
      <c r="R361" s="1068">
        <f t="shared" si="218"/>
        <v>320360730.43999994</v>
      </c>
      <c r="S361" s="1074"/>
      <c r="T361" s="62"/>
      <c r="U361" s="77"/>
    </row>
    <row r="362" spans="1:22" s="26" customFormat="1" ht="15.75" customHeight="1" thickBot="1" x14ac:dyDescent="0.25">
      <c r="A362" s="1602" t="s">
        <v>71</v>
      </c>
      <c r="B362" s="1602"/>
      <c r="C362" s="1602"/>
      <c r="D362" s="1602"/>
      <c r="E362" s="1602"/>
      <c r="F362" s="1072"/>
      <c r="G362" s="1072"/>
      <c r="H362" s="1072"/>
      <c r="I362" s="1072"/>
      <c r="J362" s="1072"/>
      <c r="K362" s="1072"/>
      <c r="L362" s="1072"/>
      <c r="M362" s="1072">
        <f t="shared" ref="M362" si="221">M333+M112</f>
        <v>0</v>
      </c>
      <c r="N362" s="1072"/>
      <c r="O362" s="1072"/>
      <c r="P362" s="1072"/>
      <c r="Q362" s="1072"/>
      <c r="R362" s="1068">
        <f t="shared" si="218"/>
        <v>0</v>
      </c>
      <c r="S362" s="1074"/>
      <c r="T362" s="62"/>
      <c r="U362" s="77"/>
      <c r="V362" s="60"/>
    </row>
    <row r="363" spans="1:22" s="26" customFormat="1" ht="15.75" customHeight="1" thickBot="1" x14ac:dyDescent="0.25">
      <c r="A363" s="1075"/>
      <c r="B363" s="1075"/>
      <c r="C363" s="1603"/>
      <c r="D363" s="1603"/>
      <c r="E363" s="1076" t="s">
        <v>302</v>
      </c>
      <c r="F363" s="1072"/>
      <c r="G363" s="1072"/>
      <c r="H363" s="1072"/>
      <c r="I363" s="1072"/>
      <c r="J363" s="1072"/>
      <c r="K363" s="1072"/>
      <c r="L363" s="1072"/>
      <c r="M363" s="1072">
        <f t="shared" ref="M363" si="222">M334+M113</f>
        <v>0</v>
      </c>
      <c r="N363" s="1072"/>
      <c r="O363" s="1072"/>
      <c r="P363" s="1072"/>
      <c r="Q363" s="1072"/>
      <c r="R363" s="1068">
        <f t="shared" si="218"/>
        <v>0</v>
      </c>
      <c r="S363" s="1074"/>
      <c r="T363" s="62"/>
      <c r="U363" s="77"/>
      <c r="V363" s="60"/>
    </row>
    <row r="364" spans="1:22" s="26" customFormat="1" ht="15.75" customHeight="1" thickBot="1" x14ac:dyDescent="0.25">
      <c r="A364" s="1075"/>
      <c r="B364" s="1075"/>
      <c r="C364" s="1603"/>
      <c r="D364" s="1603"/>
      <c r="E364" s="1076" t="s">
        <v>303</v>
      </c>
      <c r="F364" s="1072"/>
      <c r="G364" s="1072"/>
      <c r="H364" s="1072"/>
      <c r="I364" s="1072"/>
      <c r="J364" s="1072"/>
      <c r="K364" s="1072"/>
      <c r="L364" s="1072"/>
      <c r="M364" s="1072">
        <f t="shared" ref="M364" si="223">M335+M114</f>
        <v>0</v>
      </c>
      <c r="N364" s="1072"/>
      <c r="O364" s="1072"/>
      <c r="P364" s="1072"/>
      <c r="Q364" s="1072"/>
      <c r="R364" s="1068">
        <f t="shared" si="218"/>
        <v>0</v>
      </c>
      <c r="S364" s="1074"/>
      <c r="T364" s="62"/>
      <c r="U364" s="77"/>
      <c r="V364" s="60"/>
    </row>
    <row r="365" spans="1:22" s="26" customFormat="1" ht="15.75" customHeight="1" thickBot="1" x14ac:dyDescent="0.25">
      <c r="A365" s="1075"/>
      <c r="B365" s="1075"/>
      <c r="C365" s="1603"/>
      <c r="D365" s="1603"/>
      <c r="E365" s="1076" t="s">
        <v>304</v>
      </c>
      <c r="F365" s="1072"/>
      <c r="G365" s="1072"/>
      <c r="H365" s="1072"/>
      <c r="I365" s="1072"/>
      <c r="J365" s="1072"/>
      <c r="K365" s="1072"/>
      <c r="L365" s="1072"/>
      <c r="M365" s="1072">
        <f t="shared" ref="M365" si="224">M336+M115</f>
        <v>0</v>
      </c>
      <c r="N365" s="1072"/>
      <c r="O365" s="1072"/>
      <c r="P365" s="1072"/>
      <c r="Q365" s="1072"/>
      <c r="R365" s="1068">
        <f t="shared" si="218"/>
        <v>0</v>
      </c>
      <c r="S365" s="1074"/>
      <c r="T365" s="62"/>
      <c r="U365" s="77"/>
      <c r="V365" s="60"/>
    </row>
    <row r="366" spans="1:22" s="26" customFormat="1" ht="15.75" customHeight="1" thickBot="1" x14ac:dyDescent="0.25">
      <c r="A366" s="1602" t="s">
        <v>66</v>
      </c>
      <c r="B366" s="1602"/>
      <c r="C366" s="1602"/>
      <c r="D366" s="1602"/>
      <c r="E366" s="1602"/>
      <c r="F366" s="1072"/>
      <c r="G366" s="1072"/>
      <c r="H366" s="1072"/>
      <c r="I366" s="1072"/>
      <c r="J366" s="1072"/>
      <c r="K366" s="1072"/>
      <c r="L366" s="1072"/>
      <c r="M366" s="1072">
        <f t="shared" ref="M366" si="225">M337+M116</f>
        <v>0</v>
      </c>
      <c r="N366" s="1072"/>
      <c r="O366" s="1072"/>
      <c r="P366" s="1072"/>
      <c r="Q366" s="1072"/>
      <c r="R366" s="1068"/>
      <c r="S366" s="1074"/>
      <c r="T366" s="62"/>
      <c r="U366" s="77"/>
    </row>
    <row r="367" spans="1:22" ht="15.75" customHeight="1" thickBot="1" x14ac:dyDescent="0.25">
      <c r="A367" s="1077"/>
      <c r="B367" s="1078"/>
      <c r="C367" s="1611"/>
      <c r="D367" s="1611"/>
      <c r="E367" s="1076" t="s">
        <v>302</v>
      </c>
      <c r="F367" s="1079">
        <f>F338+F117</f>
        <v>9445798</v>
      </c>
      <c r="G367" s="1079">
        <f t="shared" ref="G367:S367" si="226">G338+G117</f>
        <v>2169534</v>
      </c>
      <c r="H367" s="1079">
        <f t="shared" si="226"/>
        <v>9154641</v>
      </c>
      <c r="I367" s="1079">
        <f t="shared" si="226"/>
        <v>500000</v>
      </c>
      <c r="J367" s="1079">
        <f t="shared" si="226"/>
        <v>30000</v>
      </c>
      <c r="K367" s="1079">
        <f t="shared" si="226"/>
        <v>0</v>
      </c>
      <c r="L367" s="1079">
        <f t="shared" si="226"/>
        <v>0</v>
      </c>
      <c r="M367" s="1072">
        <f t="shared" si="226"/>
        <v>21299973</v>
      </c>
      <c r="N367" s="1079">
        <f>N338+N117</f>
        <v>500000</v>
      </c>
      <c r="O367" s="1079">
        <f t="shared" si="226"/>
        <v>0</v>
      </c>
      <c r="P367" s="1079">
        <f t="shared" si="226"/>
        <v>0</v>
      </c>
      <c r="Q367" s="1079">
        <f t="shared" si="226"/>
        <v>0</v>
      </c>
      <c r="R367" s="1068">
        <f t="shared" si="218"/>
        <v>21799973</v>
      </c>
      <c r="S367" s="1079">
        <f t="shared" si="226"/>
        <v>0</v>
      </c>
    </row>
    <row r="368" spans="1:22" ht="15.75" customHeight="1" thickBot="1" x14ac:dyDescent="0.25">
      <c r="A368" s="1077"/>
      <c r="B368" s="1078"/>
      <c r="C368" s="1611"/>
      <c r="D368" s="1611"/>
      <c r="E368" s="1076" t="s">
        <v>303</v>
      </c>
      <c r="F368" s="1079">
        <f t="shared" ref="F368:J369" si="227">F339+F118</f>
        <v>12158712</v>
      </c>
      <c r="G368" s="1079">
        <f t="shared" si="227"/>
        <v>2660230</v>
      </c>
      <c r="H368" s="1079">
        <f t="shared" si="227"/>
        <v>13237819</v>
      </c>
      <c r="I368" s="1079">
        <f t="shared" si="227"/>
        <v>840000</v>
      </c>
      <c r="J368" s="1079">
        <f t="shared" si="227"/>
        <v>75000</v>
      </c>
      <c r="K368" s="1079">
        <f t="shared" ref="K368:Q369" si="228">K118+K131+K219+K259+K315</f>
        <v>340000</v>
      </c>
      <c r="L368" s="1079">
        <f t="shared" si="228"/>
        <v>0</v>
      </c>
      <c r="M368" s="1072">
        <f t="shared" ref="M368" si="229">M339+M118</f>
        <v>29311761</v>
      </c>
      <c r="N368" s="1079">
        <f t="shared" si="228"/>
        <v>530000</v>
      </c>
      <c r="O368" s="1079">
        <f t="shared" si="228"/>
        <v>0</v>
      </c>
      <c r="P368" s="1079">
        <f t="shared" si="228"/>
        <v>0</v>
      </c>
      <c r="Q368" s="1079">
        <f t="shared" si="228"/>
        <v>0</v>
      </c>
      <c r="R368" s="1068">
        <f t="shared" si="218"/>
        <v>29841761</v>
      </c>
      <c r="S368" s="1079"/>
    </row>
    <row r="369" spans="1:19" ht="15.75" customHeight="1" thickBot="1" x14ac:dyDescent="0.25">
      <c r="A369" s="1077"/>
      <c r="B369" s="1078"/>
      <c r="C369" s="1612"/>
      <c r="D369" s="1612"/>
      <c r="E369" s="1197" t="s">
        <v>304</v>
      </c>
      <c r="F369" s="1198">
        <f t="shared" si="227"/>
        <v>12158471</v>
      </c>
      <c r="G369" s="1198">
        <f t="shared" si="227"/>
        <v>2594120</v>
      </c>
      <c r="H369" s="1198">
        <f t="shared" si="227"/>
        <v>12742276.74</v>
      </c>
      <c r="I369" s="1198">
        <f t="shared" si="227"/>
        <v>839590</v>
      </c>
      <c r="J369" s="1198">
        <f t="shared" si="227"/>
        <v>75000</v>
      </c>
      <c r="K369" s="1198">
        <f t="shared" si="228"/>
        <v>340000</v>
      </c>
      <c r="L369" s="1198">
        <f t="shared" si="228"/>
        <v>0</v>
      </c>
      <c r="M369" s="1199">
        <f t="shared" ref="M369" si="230">M340+M119</f>
        <v>28749457.740000002</v>
      </c>
      <c r="N369" s="1198">
        <f t="shared" si="228"/>
        <v>511848.65</v>
      </c>
      <c r="O369" s="1198">
        <f t="shared" si="228"/>
        <v>0</v>
      </c>
      <c r="P369" s="1198">
        <f t="shared" si="228"/>
        <v>0</v>
      </c>
      <c r="Q369" s="1198">
        <f t="shared" si="228"/>
        <v>0</v>
      </c>
      <c r="R369" s="1200">
        <f t="shared" si="218"/>
        <v>29261306.390000001</v>
      </c>
      <c r="S369" s="1198"/>
    </row>
    <row r="370" spans="1:19" ht="15.75" customHeight="1" thickTop="1" x14ac:dyDescent="0.2">
      <c r="A370" s="990"/>
      <c r="B370" s="982"/>
      <c r="C370" s="1598" t="s">
        <v>730</v>
      </c>
      <c r="D370" s="1599"/>
      <c r="E370" s="1599"/>
      <c r="F370" s="1599"/>
      <c r="G370" s="1599"/>
      <c r="H370" s="1599"/>
      <c r="I370" s="1599"/>
      <c r="J370" s="1599"/>
      <c r="K370" s="1599"/>
      <c r="L370" s="1599"/>
      <c r="M370" s="1599"/>
      <c r="N370" s="1599"/>
      <c r="O370" s="1599"/>
      <c r="P370" s="1599"/>
      <c r="Q370" s="1599"/>
      <c r="R370" s="1599"/>
      <c r="S370" s="1600"/>
    </row>
    <row r="371" spans="1:19" ht="15.75" customHeight="1" x14ac:dyDescent="0.2">
      <c r="A371" s="990"/>
      <c r="B371" s="982"/>
      <c r="C371" s="1259"/>
      <c r="D371" s="1287"/>
      <c r="E371" s="1261" t="s">
        <v>302</v>
      </c>
      <c r="F371" s="1288">
        <f>F351+F355</f>
        <v>149614061</v>
      </c>
      <c r="G371" s="1288">
        <f t="shared" ref="G371:Q371" si="231">G351+G355</f>
        <v>33904878</v>
      </c>
      <c r="H371" s="1288">
        <f t="shared" si="231"/>
        <v>95606233</v>
      </c>
      <c r="I371" s="1288">
        <f t="shared" si="231"/>
        <v>3848000</v>
      </c>
      <c r="J371" s="1288">
        <f t="shared" si="231"/>
        <v>27728059</v>
      </c>
      <c r="K371" s="1288">
        <f t="shared" si="231"/>
        <v>3083040</v>
      </c>
      <c r="L371" s="1288">
        <f t="shared" si="231"/>
        <v>500000</v>
      </c>
      <c r="M371" s="1288">
        <f>SUM(F371:L371)</f>
        <v>314284271</v>
      </c>
      <c r="N371" s="1288">
        <f t="shared" si="231"/>
        <v>45658369</v>
      </c>
      <c r="O371" s="1288">
        <f t="shared" si="231"/>
        <v>0</v>
      </c>
      <c r="P371" s="1288">
        <f t="shared" si="231"/>
        <v>0</v>
      </c>
      <c r="Q371" s="1288">
        <f t="shared" si="231"/>
        <v>0</v>
      </c>
      <c r="R371" s="1288">
        <f>SUM(M371:N371)</f>
        <v>359942640</v>
      </c>
      <c r="S371" s="1286">
        <f>S326+S93+S45+S9</f>
        <v>82.5</v>
      </c>
    </row>
    <row r="372" spans="1:19" ht="15.75" customHeight="1" x14ac:dyDescent="0.2">
      <c r="A372" s="990"/>
      <c r="B372" s="982"/>
      <c r="C372" s="1259"/>
      <c r="D372" s="1287"/>
      <c r="E372" s="1261" t="s">
        <v>303</v>
      </c>
      <c r="F372" s="1288">
        <f t="shared" ref="F372:Q373" si="232">F352+F356</f>
        <v>154706502</v>
      </c>
      <c r="G372" s="1288">
        <f t="shared" si="232"/>
        <v>29573173.100000001</v>
      </c>
      <c r="H372" s="1288">
        <f t="shared" si="232"/>
        <v>124951971</v>
      </c>
      <c r="I372" s="1288">
        <f t="shared" si="232"/>
        <v>4419000</v>
      </c>
      <c r="J372" s="1288">
        <f t="shared" si="232"/>
        <v>100943066</v>
      </c>
      <c r="K372" s="1288">
        <f t="shared" si="232"/>
        <v>12224880</v>
      </c>
      <c r="L372" s="1288">
        <f t="shared" si="232"/>
        <v>500000</v>
      </c>
      <c r="M372" s="1288">
        <f>SUM(F372:L372)</f>
        <v>427318592.10000002</v>
      </c>
      <c r="N372" s="1288">
        <f t="shared" si="232"/>
        <v>242389206.06999999</v>
      </c>
      <c r="O372" s="1288">
        <f t="shared" si="232"/>
        <v>0</v>
      </c>
      <c r="P372" s="1288">
        <f t="shared" si="232"/>
        <v>0</v>
      </c>
      <c r="Q372" s="1288">
        <f t="shared" si="232"/>
        <v>0</v>
      </c>
      <c r="R372" s="1288">
        <f t="shared" ref="R372" si="233">SUM(M372:N372)</f>
        <v>669707798.17000008</v>
      </c>
      <c r="S372" s="1286">
        <f t="shared" ref="S372:S373" si="234">S327+S94+S46+S10</f>
        <v>73.5</v>
      </c>
    </row>
    <row r="373" spans="1:19" ht="15.75" customHeight="1" thickBot="1" x14ac:dyDescent="0.25">
      <c r="A373" s="990"/>
      <c r="B373" s="982"/>
      <c r="C373" s="1260"/>
      <c r="D373" s="1263"/>
      <c r="E373" s="1262" t="s">
        <v>304</v>
      </c>
      <c r="F373" s="1264">
        <f t="shared" si="232"/>
        <v>142168033</v>
      </c>
      <c r="G373" s="1264">
        <f t="shared" si="232"/>
        <v>27899609</v>
      </c>
      <c r="H373" s="1264">
        <f t="shared" si="232"/>
        <v>119799500.39999999</v>
      </c>
      <c r="I373" s="1264">
        <f t="shared" si="232"/>
        <v>4193931</v>
      </c>
      <c r="J373" s="1264">
        <f t="shared" si="232"/>
        <v>98794176</v>
      </c>
      <c r="K373" s="1264">
        <f t="shared" si="232"/>
        <v>12000151</v>
      </c>
      <c r="L373" s="1264">
        <f t="shared" si="232"/>
        <v>0</v>
      </c>
      <c r="M373" s="1264">
        <f>SUM(F373:L373)</f>
        <v>404855400.39999998</v>
      </c>
      <c r="N373" s="1264">
        <f t="shared" si="232"/>
        <v>49102277.43</v>
      </c>
      <c r="O373" s="1264">
        <f t="shared" si="232"/>
        <v>0</v>
      </c>
      <c r="P373" s="1264">
        <f t="shared" si="232"/>
        <v>0</v>
      </c>
      <c r="Q373" s="1264">
        <f t="shared" si="232"/>
        <v>0</v>
      </c>
      <c r="R373" s="1264">
        <f>SUM(M373:N373)-1</f>
        <v>453957676.82999998</v>
      </c>
      <c r="S373" s="1286">
        <f t="shared" si="234"/>
        <v>72.5</v>
      </c>
    </row>
    <row r="374" spans="1:19" ht="15.75" customHeight="1" thickTop="1" x14ac:dyDescent="0.2">
      <c r="A374" s="990"/>
      <c r="B374" s="982"/>
      <c r="C374" s="991"/>
      <c r="D374" s="992"/>
      <c r="E374" s="348"/>
      <c r="F374" s="348"/>
      <c r="G374" s="348"/>
      <c r="H374" s="348"/>
      <c r="I374" s="348"/>
      <c r="J374" s="348"/>
      <c r="K374" s="348"/>
      <c r="L374" s="348"/>
      <c r="M374" s="348"/>
      <c r="N374" s="348"/>
      <c r="O374" s="348"/>
      <c r="P374" s="348"/>
      <c r="Q374" s="348"/>
      <c r="R374" s="349"/>
      <c r="S374" s="512"/>
    </row>
    <row r="375" spans="1:19" ht="15.75" customHeight="1" x14ac:dyDescent="0.2">
      <c r="A375" s="990"/>
      <c r="B375" s="982"/>
      <c r="C375" s="991"/>
      <c r="D375" s="992"/>
      <c r="E375" s="348"/>
      <c r="F375" s="348"/>
      <c r="G375" s="348"/>
      <c r="H375" s="348"/>
      <c r="I375" s="348"/>
      <c r="J375" s="348"/>
      <c r="K375" s="348"/>
      <c r="L375" s="348"/>
      <c r="M375" s="349"/>
      <c r="N375" s="348"/>
      <c r="O375" s="348"/>
      <c r="P375" s="348"/>
      <c r="Q375" s="348"/>
      <c r="R375" s="349"/>
      <c r="S375" s="1119"/>
    </row>
    <row r="376" spans="1:19" ht="15.75" customHeight="1" x14ac:dyDescent="0.2">
      <c r="A376" s="990"/>
      <c r="B376" s="982"/>
      <c r="C376" s="991"/>
      <c r="D376" s="992"/>
      <c r="E376" s="348"/>
      <c r="F376" s="348"/>
      <c r="G376" s="348"/>
      <c r="H376" s="348"/>
      <c r="I376" s="348"/>
      <c r="J376" s="348"/>
      <c r="K376" s="348"/>
      <c r="L376" s="348"/>
      <c r="M376" s="349"/>
      <c r="N376" s="348"/>
      <c r="O376" s="348"/>
      <c r="P376" s="348"/>
      <c r="Q376" s="348"/>
      <c r="R376" s="349"/>
      <c r="S376" s="512"/>
    </row>
    <row r="377" spans="1:19" ht="15.75" customHeight="1" x14ac:dyDescent="0.2">
      <c r="A377" s="990"/>
      <c r="B377" s="982"/>
      <c r="C377" s="991"/>
      <c r="D377" s="992"/>
      <c r="E377" s="348"/>
      <c r="F377" s="348"/>
      <c r="G377" s="348"/>
      <c r="H377" s="348"/>
      <c r="I377" s="348"/>
      <c r="J377" s="348"/>
      <c r="K377" s="348"/>
      <c r="L377" s="348"/>
      <c r="M377" s="349"/>
      <c r="N377" s="348"/>
      <c r="O377" s="348"/>
      <c r="P377" s="348"/>
      <c r="Q377" s="348"/>
      <c r="R377" s="349"/>
      <c r="S377" s="512"/>
    </row>
    <row r="378" spans="1:19" ht="15.75" customHeight="1" x14ac:dyDescent="0.2">
      <c r="A378" s="990"/>
      <c r="B378" s="982"/>
      <c r="C378" s="991"/>
      <c r="D378" s="992"/>
      <c r="E378" s="348"/>
      <c r="F378" s="348"/>
      <c r="G378" s="348"/>
      <c r="H378" s="348"/>
      <c r="I378" s="348"/>
      <c r="J378" s="348"/>
      <c r="K378" s="348"/>
      <c r="L378" s="348"/>
      <c r="M378" s="349"/>
      <c r="N378" s="348"/>
      <c r="O378" s="348"/>
      <c r="P378" s="348"/>
      <c r="Q378" s="348"/>
      <c r="R378" s="349"/>
      <c r="S378" s="1120"/>
    </row>
    <row r="379" spans="1:19" ht="15.75" customHeight="1" x14ac:dyDescent="0.2">
      <c r="A379" s="990"/>
      <c r="B379" s="982"/>
      <c r="C379" s="991"/>
      <c r="D379" s="992"/>
      <c r="E379" s="348"/>
      <c r="F379" s="348"/>
      <c r="G379" s="348"/>
      <c r="H379" s="348"/>
      <c r="I379" s="348"/>
      <c r="J379" s="348"/>
      <c r="K379" s="348"/>
      <c r="L379" s="348"/>
      <c r="M379" s="349"/>
      <c r="N379" s="348"/>
      <c r="O379" s="348"/>
      <c r="P379" s="348"/>
      <c r="Q379" s="348"/>
      <c r="R379" s="349"/>
      <c r="S379" s="512"/>
    </row>
    <row r="380" spans="1:19" ht="15.75" customHeight="1" x14ac:dyDescent="0.2">
      <c r="A380" s="990"/>
      <c r="B380" s="982"/>
      <c r="C380" s="991"/>
      <c r="D380" s="992"/>
      <c r="E380" s="348"/>
      <c r="F380" s="348"/>
      <c r="G380" s="348"/>
      <c r="H380" s="348"/>
      <c r="I380" s="348"/>
      <c r="J380" s="348"/>
      <c r="K380" s="348"/>
      <c r="L380" s="348"/>
      <c r="M380" s="349"/>
      <c r="N380" s="348"/>
      <c r="O380" s="348"/>
      <c r="P380" s="348"/>
      <c r="Q380" s="348"/>
      <c r="R380" s="349"/>
      <c r="S380" s="512"/>
    </row>
    <row r="381" spans="1:19" ht="15.75" customHeight="1" x14ac:dyDescent="0.2">
      <c r="A381" s="990"/>
      <c r="B381" s="982"/>
      <c r="C381" s="991"/>
      <c r="D381" s="992"/>
      <c r="E381" s="348"/>
      <c r="F381" s="348"/>
      <c r="G381" s="348"/>
      <c r="H381" s="348"/>
      <c r="I381" s="348"/>
      <c r="J381" s="348"/>
      <c r="K381" s="348"/>
      <c r="L381" s="348"/>
      <c r="M381" s="349"/>
      <c r="N381" s="348"/>
      <c r="O381" s="348"/>
      <c r="P381" s="348"/>
      <c r="Q381" s="348"/>
      <c r="R381" s="349"/>
      <c r="S381" s="512"/>
    </row>
    <row r="382" spans="1:19" ht="15.75" customHeight="1" x14ac:dyDescent="0.2">
      <c r="S382" s="1121"/>
    </row>
    <row r="383" spans="1:19" ht="15.75" customHeight="1" x14ac:dyDescent="0.2">
      <c r="S383" s="489"/>
    </row>
    <row r="384" spans="1:19" ht="15.75" customHeight="1" x14ac:dyDescent="0.2">
      <c r="S384" s="1122"/>
    </row>
    <row r="385" spans="19:19" ht="15.75" customHeight="1" x14ac:dyDescent="0.2">
      <c r="S385" s="1122"/>
    </row>
  </sheetData>
  <mergeCells count="146">
    <mergeCell ref="C269:C272"/>
    <mergeCell ref="C273:C276"/>
    <mergeCell ref="C277:C280"/>
    <mergeCell ref="C281:C284"/>
    <mergeCell ref="C237:C240"/>
    <mergeCell ref="C241:C244"/>
    <mergeCell ref="C245:C248"/>
    <mergeCell ref="C249:C260"/>
    <mergeCell ref="C265:C268"/>
    <mergeCell ref="C261:C264"/>
    <mergeCell ref="D249:D252"/>
    <mergeCell ref="D257:D260"/>
    <mergeCell ref="D189:D192"/>
    <mergeCell ref="D193:D204"/>
    <mergeCell ref="D209:D212"/>
    <mergeCell ref="D213:D216"/>
    <mergeCell ref="D217:D220"/>
    <mergeCell ref="D289:D292"/>
    <mergeCell ref="D305:D308"/>
    <mergeCell ref="D269:D272"/>
    <mergeCell ref="C285:C288"/>
    <mergeCell ref="D285:D288"/>
    <mergeCell ref="C289:C292"/>
    <mergeCell ref="C293:C296"/>
    <mergeCell ref="C297:C300"/>
    <mergeCell ref="D297:D300"/>
    <mergeCell ref="D346:D349"/>
    <mergeCell ref="D342:D345"/>
    <mergeCell ref="D293:D296"/>
    <mergeCell ref="D317:D320"/>
    <mergeCell ref="C326:D328"/>
    <mergeCell ref="C330:D332"/>
    <mergeCell ref="C334:D336"/>
    <mergeCell ref="C321:C324"/>
    <mergeCell ref="C342:C345"/>
    <mergeCell ref="C346:C349"/>
    <mergeCell ref="C301:C304"/>
    <mergeCell ref="C305:C308"/>
    <mergeCell ref="C309:C312"/>
    <mergeCell ref="C313:C316"/>
    <mergeCell ref="C317:C320"/>
    <mergeCell ref="C8:C19"/>
    <mergeCell ref="C20:C31"/>
    <mergeCell ref="C32:C35"/>
    <mergeCell ref="C36:C39"/>
    <mergeCell ref="C44:C55"/>
    <mergeCell ref="C56:C59"/>
    <mergeCell ref="C68:C71"/>
    <mergeCell ref="C80:C83"/>
    <mergeCell ref="C161:C164"/>
    <mergeCell ref="C133:C144"/>
    <mergeCell ref="C145:C148"/>
    <mergeCell ref="C149:C152"/>
    <mergeCell ref="C153:C156"/>
    <mergeCell ref="C157:C160"/>
    <mergeCell ref="C92:C103"/>
    <mergeCell ref="C104:C119"/>
    <mergeCell ref="C120:S120"/>
    <mergeCell ref="C121:C132"/>
    <mergeCell ref="D12:D15"/>
    <mergeCell ref="D16:D19"/>
    <mergeCell ref="D8:D11"/>
    <mergeCell ref="S105:S119"/>
    <mergeCell ref="D104:F104"/>
    <mergeCell ref="D100:D103"/>
    <mergeCell ref="C233:C236"/>
    <mergeCell ref="C165:C168"/>
    <mergeCell ref="C169:C172"/>
    <mergeCell ref="C173:C176"/>
    <mergeCell ref="C177:C180"/>
    <mergeCell ref="C217:C220"/>
    <mergeCell ref="C221:C224"/>
    <mergeCell ref="C181:C184"/>
    <mergeCell ref="C185:C188"/>
    <mergeCell ref="C189:C192"/>
    <mergeCell ref="C193:C204"/>
    <mergeCell ref="C205:C216"/>
    <mergeCell ref="C225:C228"/>
    <mergeCell ref="C229:C232"/>
    <mergeCell ref="D92:D94"/>
    <mergeCell ref="D177:D180"/>
    <mergeCell ref="D181:D184"/>
    <mergeCell ref="D185:D188"/>
    <mergeCell ref="D321:D324"/>
    <mergeCell ref="D80:D83"/>
    <mergeCell ref="D84:D87"/>
    <mergeCell ref="D88:D91"/>
    <mergeCell ref="D229:D232"/>
    <mergeCell ref="D233:D236"/>
    <mergeCell ref="D237:D240"/>
    <mergeCell ref="D265:D268"/>
    <mergeCell ref="D261:D264"/>
    <mergeCell ref="D253:D256"/>
    <mergeCell ref="D273:D276"/>
    <mergeCell ref="D313:D316"/>
    <mergeCell ref="D241:D244"/>
    <mergeCell ref="D245:D248"/>
    <mergeCell ref="D301:D304"/>
    <mergeCell ref="D221:D224"/>
    <mergeCell ref="D225:D228"/>
    <mergeCell ref="D309:D312"/>
    <mergeCell ref="D281:D284"/>
    <mergeCell ref="D277:D280"/>
    <mergeCell ref="D20:D31"/>
    <mergeCell ref="D32:D35"/>
    <mergeCell ref="D48:D51"/>
    <mergeCell ref="D52:D55"/>
    <mergeCell ref="D44:D47"/>
    <mergeCell ref="D56:D59"/>
    <mergeCell ref="D64:D67"/>
    <mergeCell ref="D60:D63"/>
    <mergeCell ref="D68:D71"/>
    <mergeCell ref="D40:D43"/>
    <mergeCell ref="D36:D39"/>
    <mergeCell ref="O1:S1"/>
    <mergeCell ref="A6:B6"/>
    <mergeCell ref="D5:D7"/>
    <mergeCell ref="O5:Q5"/>
    <mergeCell ref="O6:O7"/>
    <mergeCell ref="J5:L5"/>
    <mergeCell ref="A5:B5"/>
    <mergeCell ref="A7:B7"/>
    <mergeCell ref="L6:L7"/>
    <mergeCell ref="Q6:Q7"/>
    <mergeCell ref="K6:K7"/>
    <mergeCell ref="P6:P7"/>
    <mergeCell ref="J6:J7"/>
    <mergeCell ref="S5:S7"/>
    <mergeCell ref="C5:C7"/>
    <mergeCell ref="C370:S370"/>
    <mergeCell ref="A354:E354"/>
    <mergeCell ref="A362:E362"/>
    <mergeCell ref="A358:E358"/>
    <mergeCell ref="C359:D361"/>
    <mergeCell ref="C363:D365"/>
    <mergeCell ref="A337:E337"/>
    <mergeCell ref="A325:E325"/>
    <mergeCell ref="A333:E333"/>
    <mergeCell ref="A329:E329"/>
    <mergeCell ref="A341:S341"/>
    <mergeCell ref="A350:E350"/>
    <mergeCell ref="A366:E366"/>
    <mergeCell ref="C367:D369"/>
    <mergeCell ref="C338:D340"/>
    <mergeCell ref="C351:D353"/>
    <mergeCell ref="C355:D357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72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09"/>
  <sheetViews>
    <sheetView view="pageBreakPreview" zoomScaleNormal="100" zoomScaleSheetLayoutView="100" workbookViewId="0">
      <selection activeCell="C10" sqref="C10"/>
    </sheetView>
  </sheetViews>
  <sheetFormatPr defaultRowHeight="12" customHeight="1" x14ac:dyDescent="0.2"/>
  <cols>
    <col min="1" max="1" width="3.28515625" style="14" customWidth="1"/>
    <col min="2" max="2" width="3.140625" style="35" customWidth="1"/>
    <col min="3" max="3" width="91.28515625" style="15" customWidth="1"/>
    <col min="4" max="4" width="14.42578125" style="470" customWidth="1"/>
    <col min="5" max="5" width="14.140625" style="69" customWidth="1"/>
    <col min="6" max="6" width="11.28515625" style="70" customWidth="1"/>
    <col min="7" max="7" width="15.7109375" style="14" customWidth="1"/>
    <col min="8" max="8" width="10.7109375" style="14" customWidth="1"/>
    <col min="9" max="16384" width="9.140625" style="14"/>
  </cols>
  <sheetData>
    <row r="1" spans="1:10" ht="12" customHeight="1" x14ac:dyDescent="0.2">
      <c r="C1" s="1762"/>
      <c r="D1" s="1762"/>
      <c r="E1" s="1762"/>
    </row>
    <row r="2" spans="1:10" ht="12" customHeight="1" x14ac:dyDescent="0.2">
      <c r="E2" s="70"/>
    </row>
    <row r="3" spans="1:10" ht="30" customHeight="1" x14ac:dyDescent="0.2">
      <c r="E3" s="70"/>
    </row>
    <row r="4" spans="1:10" ht="16.5" customHeight="1" thickBot="1" x14ac:dyDescent="0.25"/>
    <row r="5" spans="1:10" s="16" customFormat="1" ht="18.75" customHeight="1" x14ac:dyDescent="0.2">
      <c r="A5" s="1763" t="s">
        <v>13</v>
      </c>
      <c r="B5" s="1764"/>
      <c r="C5" s="1765"/>
      <c r="D5" s="993" t="s">
        <v>306</v>
      </c>
      <c r="E5" s="994" t="s">
        <v>307</v>
      </c>
      <c r="F5" s="1293" t="s">
        <v>308</v>
      </c>
    </row>
    <row r="6" spans="1:10" s="17" customFormat="1" ht="12.75" customHeight="1" x14ac:dyDescent="0.2">
      <c r="A6" s="995" t="s">
        <v>19</v>
      </c>
      <c r="B6" s="996"/>
      <c r="C6" s="997" t="s">
        <v>22</v>
      </c>
      <c r="D6" s="998">
        <f>D8+D47+D54+D57+D59+D65</f>
        <v>45658369</v>
      </c>
      <c r="E6" s="900">
        <f>E8+E45</f>
        <v>87410424.579999998</v>
      </c>
      <c r="F6" s="900">
        <f>F8+F45</f>
        <v>26682128</v>
      </c>
      <c r="G6" s="224"/>
    </row>
    <row r="7" spans="1:10" s="17" customFormat="1" ht="8.25" customHeight="1" x14ac:dyDescent="0.2">
      <c r="A7" s="995"/>
      <c r="B7" s="996"/>
      <c r="C7" s="997"/>
      <c r="D7" s="998"/>
      <c r="E7" s="900"/>
      <c r="F7" s="1294"/>
    </row>
    <row r="8" spans="1:10" s="16" customFormat="1" ht="15" customHeight="1" x14ac:dyDescent="0.2">
      <c r="A8" s="999"/>
      <c r="B8" s="1000" t="s">
        <v>2</v>
      </c>
      <c r="C8" s="1001" t="s">
        <v>70</v>
      </c>
      <c r="D8" s="1002">
        <f>D9+D18+D24+D26</f>
        <v>18143412</v>
      </c>
      <c r="E8" s="900">
        <f>E9+E26+E37+E40+E18+E24</f>
        <v>53853000.979999997</v>
      </c>
      <c r="F8" s="900">
        <f>F9+F18+F24+F26+F37+F40</f>
        <v>20090387</v>
      </c>
      <c r="H8" s="196"/>
    </row>
    <row r="9" spans="1:10" s="16" customFormat="1" ht="15" customHeight="1" x14ac:dyDescent="0.2">
      <c r="A9" s="999"/>
      <c r="B9" s="1000"/>
      <c r="C9" s="1003" t="s">
        <v>212</v>
      </c>
      <c r="D9" s="1004">
        <f>SUM(D10:D17)</f>
        <v>0</v>
      </c>
      <c r="E9" s="1005">
        <f>SUM(E10:E17)</f>
        <v>41313507.469999999</v>
      </c>
      <c r="F9" s="1005">
        <f>SUM(F10:F17)</f>
        <v>7752039</v>
      </c>
      <c r="G9" s="196"/>
      <c r="H9" s="196"/>
    </row>
    <row r="10" spans="1:10" s="241" customFormat="1" ht="15" customHeight="1" x14ac:dyDescent="0.2">
      <c r="A10" s="999"/>
      <c r="B10" s="1000"/>
      <c r="C10" s="1008" t="s">
        <v>354</v>
      </c>
      <c r="D10" s="1006"/>
      <c r="E10" s="1007">
        <f>2100000+35049000</f>
        <v>37149000</v>
      </c>
      <c r="F10" s="1295">
        <f>1138300+749999+1581050+1058650+499999</f>
        <v>5027998</v>
      </c>
      <c r="G10" s="1289"/>
    </row>
    <row r="11" spans="1:10" s="241" customFormat="1" ht="15" customHeight="1" x14ac:dyDescent="0.2">
      <c r="A11" s="999"/>
      <c r="B11" s="1000"/>
      <c r="C11" s="1008" t="s">
        <v>287</v>
      </c>
      <c r="D11" s="1006">
        <v>0</v>
      </c>
      <c r="E11" s="1007">
        <v>113700</v>
      </c>
      <c r="F11" s="1295">
        <v>113700</v>
      </c>
      <c r="G11" s="242"/>
    </row>
    <row r="12" spans="1:10" s="241" customFormat="1" ht="15" customHeight="1" x14ac:dyDescent="0.2">
      <c r="A12" s="999"/>
      <c r="B12" s="1000"/>
      <c r="C12" s="1008" t="s">
        <v>286</v>
      </c>
      <c r="D12" s="1006">
        <v>0</v>
      </c>
      <c r="E12" s="1007">
        <v>1000000</v>
      </c>
      <c r="F12" s="1295">
        <v>1000000</v>
      </c>
      <c r="H12" s="1081"/>
      <c r="J12" s="242"/>
    </row>
    <row r="13" spans="1:10" s="241" customFormat="1" ht="15" customHeight="1" x14ac:dyDescent="0.2">
      <c r="A13" s="999"/>
      <c r="B13" s="1000"/>
      <c r="C13" s="1008" t="s">
        <v>299</v>
      </c>
      <c r="D13" s="1006">
        <v>0</v>
      </c>
      <c r="E13" s="1007">
        <v>300000</v>
      </c>
      <c r="F13" s="1295">
        <v>300000</v>
      </c>
      <c r="J13" s="242"/>
    </row>
    <row r="14" spans="1:10" s="16" customFormat="1" ht="15" customHeight="1" x14ac:dyDescent="0.2">
      <c r="A14" s="999"/>
      <c r="B14" s="1000"/>
      <c r="C14" s="1008" t="s">
        <v>283</v>
      </c>
      <c r="D14" s="1006">
        <v>0</v>
      </c>
      <c r="E14" s="1007">
        <v>500000</v>
      </c>
      <c r="F14" s="1295">
        <v>500000</v>
      </c>
    </row>
    <row r="15" spans="1:10" s="16" customFormat="1" ht="15" customHeight="1" x14ac:dyDescent="0.2">
      <c r="A15" s="999"/>
      <c r="B15" s="1000"/>
      <c r="C15" s="1008" t="s">
        <v>301</v>
      </c>
      <c r="D15" s="1006"/>
      <c r="E15" s="1007">
        <f>'5 kiadások'!N123+'5 kiadások'!N307</f>
        <v>1034480</v>
      </c>
      <c r="F15" s="1295">
        <f>18900+53721+13740+7780</f>
        <v>94141</v>
      </c>
    </row>
    <row r="16" spans="1:10" s="16" customFormat="1" ht="15" customHeight="1" x14ac:dyDescent="0.2">
      <c r="A16" s="999"/>
      <c r="B16" s="1000"/>
      <c r="C16" s="1008" t="s">
        <v>300</v>
      </c>
      <c r="D16" s="1006"/>
      <c r="E16" s="1007">
        <f>'5 kiadások'!N187</f>
        <v>1067640.47</v>
      </c>
      <c r="F16" s="1295">
        <f>379810+43170+97960+46700</f>
        <v>567640</v>
      </c>
    </row>
    <row r="17" spans="1:8" s="16" customFormat="1" ht="15" customHeight="1" x14ac:dyDescent="0.2">
      <c r="A17" s="999"/>
      <c r="B17" s="1000"/>
      <c r="C17" s="1008" t="s">
        <v>352</v>
      </c>
      <c r="D17" s="1006">
        <v>0</v>
      </c>
      <c r="E17" s="1007">
        <f>148677+10</f>
        <v>148687</v>
      </c>
      <c r="F17" s="1295">
        <v>148560</v>
      </c>
    </row>
    <row r="18" spans="1:8" s="18" customFormat="1" ht="12.75" x14ac:dyDescent="0.2">
      <c r="A18" s="1009"/>
      <c r="B18" s="1010"/>
      <c r="C18" s="1011" t="s">
        <v>48</v>
      </c>
      <c r="D18" s="1012" t="str">
        <f>D19</f>
        <v>17143412</v>
      </c>
      <c r="E18" s="1012">
        <f t="shared" ref="E18:F18" si="0">E19</f>
        <v>10363965</v>
      </c>
      <c r="F18" s="1012">
        <f t="shared" si="0"/>
        <v>10321500</v>
      </c>
      <c r="G18" s="188"/>
    </row>
    <row r="19" spans="1:8" s="18" customFormat="1" ht="12.75" x14ac:dyDescent="0.2">
      <c r="A19" s="1009"/>
      <c r="B19" s="1010"/>
      <c r="C19" s="1011" t="s">
        <v>349</v>
      </c>
      <c r="D19" s="1012" t="s">
        <v>351</v>
      </c>
      <c r="E19" s="1013">
        <f>SUM(E20:E23)</f>
        <v>10363965</v>
      </c>
      <c r="F19" s="1013">
        <f>SUM(F20:F23)</f>
        <v>10321500</v>
      </c>
      <c r="G19" s="188"/>
    </row>
    <row r="20" spans="1:8" s="18" customFormat="1" ht="12.75" x14ac:dyDescent="0.2">
      <c r="A20" s="999"/>
      <c r="B20" s="1014"/>
      <c r="C20" s="1015" t="s">
        <v>350</v>
      </c>
      <c r="D20" s="1016"/>
      <c r="E20" s="899">
        <f>916842</f>
        <v>916842</v>
      </c>
      <c r="F20" s="1296">
        <f>40900+875792</f>
        <v>916692</v>
      </c>
      <c r="G20" s="188"/>
    </row>
    <row r="21" spans="1:8" s="18" customFormat="1" ht="12.75" x14ac:dyDescent="0.2">
      <c r="A21" s="999"/>
      <c r="B21" s="1014"/>
      <c r="C21" s="1015" t="s">
        <v>261</v>
      </c>
      <c r="D21" s="1016"/>
      <c r="E21" s="1017">
        <v>5994400</v>
      </c>
      <c r="F21" s="1296">
        <v>5994400</v>
      </c>
      <c r="G21" s="188"/>
    </row>
    <row r="22" spans="1:8" s="18" customFormat="1" ht="12.75" x14ac:dyDescent="0.2">
      <c r="A22" s="999"/>
      <c r="B22" s="1014"/>
      <c r="C22" s="1015" t="s">
        <v>262</v>
      </c>
      <c r="D22" s="1016"/>
      <c r="E22" s="1017">
        <v>628650</v>
      </c>
      <c r="F22" s="1296">
        <f>628650</f>
        <v>628650</v>
      </c>
      <c r="G22" s="188"/>
    </row>
    <row r="23" spans="1:8" s="18" customFormat="1" ht="12.75" x14ac:dyDescent="0.2">
      <c r="A23" s="999"/>
      <c r="B23" s="1014"/>
      <c r="C23" s="1015" t="s">
        <v>296</v>
      </c>
      <c r="D23" s="1016"/>
      <c r="E23" s="1017">
        <v>2824073</v>
      </c>
      <c r="F23" s="1296">
        <f>1444022+616839+685997+34900</f>
        <v>2781758</v>
      </c>
      <c r="G23" s="188"/>
    </row>
    <row r="24" spans="1:8" s="243" customFormat="1" ht="12.75" x14ac:dyDescent="0.2">
      <c r="A24" s="999"/>
      <c r="B24" s="1018"/>
      <c r="C24" s="1011" t="s">
        <v>273</v>
      </c>
      <c r="D24" s="1012" t="s">
        <v>309</v>
      </c>
      <c r="E24" s="1019">
        <f>E25</f>
        <v>400000</v>
      </c>
      <c r="F24" s="1019">
        <f>F25</f>
        <v>370205</v>
      </c>
      <c r="G24" s="244"/>
    </row>
    <row r="25" spans="1:8" s="243" customFormat="1" ht="12.75" x14ac:dyDescent="0.2">
      <c r="A25" s="999"/>
      <c r="B25" s="1014"/>
      <c r="C25" s="1015" t="s">
        <v>274</v>
      </c>
      <c r="D25" s="1016" t="s">
        <v>309</v>
      </c>
      <c r="E25" s="688">
        <v>400000</v>
      </c>
      <c r="F25" s="1296">
        <v>370205</v>
      </c>
      <c r="G25" s="244"/>
      <c r="H25" s="193"/>
    </row>
    <row r="26" spans="1:8" s="18" customFormat="1" ht="13.5" x14ac:dyDescent="0.2">
      <c r="A26" s="999"/>
      <c r="B26" s="1014"/>
      <c r="C26" s="1020" t="s">
        <v>191</v>
      </c>
      <c r="D26" s="1021">
        <f>SUM(D27:D36)</f>
        <v>1000000</v>
      </c>
      <c r="E26" s="1022">
        <f>SUM(E27:E36)</f>
        <v>1000000.0000000001</v>
      </c>
      <c r="F26" s="1022">
        <f>SUM(F27:F36)</f>
        <v>871543</v>
      </c>
      <c r="G26" s="188"/>
    </row>
    <row r="27" spans="1:8" s="18" customFormat="1" ht="12.75" x14ac:dyDescent="0.2">
      <c r="A27" s="999"/>
      <c r="B27" s="1014"/>
      <c r="C27" s="1023" t="s">
        <v>263</v>
      </c>
      <c r="D27" s="1024"/>
      <c r="E27" s="1007">
        <f>102354*1.27</f>
        <v>129989.58</v>
      </c>
      <c r="F27" s="1296">
        <v>129990</v>
      </c>
    </row>
    <row r="28" spans="1:8" s="18" customFormat="1" ht="12.75" x14ac:dyDescent="0.2">
      <c r="A28" s="999"/>
      <c r="B28" s="1014"/>
      <c r="C28" s="1023" t="s">
        <v>264</v>
      </c>
      <c r="D28" s="1024"/>
      <c r="E28" s="1007">
        <v>31990</v>
      </c>
      <c r="F28" s="1296">
        <v>31990</v>
      </c>
      <c r="G28" s="188"/>
    </row>
    <row r="29" spans="1:8" s="18" customFormat="1" ht="12.75" x14ac:dyDescent="0.2">
      <c r="A29" s="999"/>
      <c r="B29" s="1014"/>
      <c r="C29" s="1023" t="s">
        <v>265</v>
      </c>
      <c r="D29" s="1024"/>
      <c r="E29" s="1007">
        <v>108180</v>
      </c>
      <c r="F29" s="1296">
        <v>108180</v>
      </c>
      <c r="G29" s="188"/>
    </row>
    <row r="30" spans="1:8" s="18" customFormat="1" ht="12.75" x14ac:dyDescent="0.2">
      <c r="A30" s="999"/>
      <c r="B30" s="1014"/>
      <c r="C30" s="1023" t="s">
        <v>270</v>
      </c>
      <c r="D30" s="1024"/>
      <c r="E30" s="1007">
        <v>25770</v>
      </c>
      <c r="F30" s="1296">
        <v>25770</v>
      </c>
    </row>
    <row r="31" spans="1:8" s="18" customFormat="1" ht="12.75" x14ac:dyDescent="0.2">
      <c r="A31" s="999"/>
      <c r="B31" s="1014"/>
      <c r="C31" s="1023" t="s">
        <v>277</v>
      </c>
      <c r="D31" s="1024"/>
      <c r="E31" s="1007">
        <v>279860</v>
      </c>
      <c r="F31" s="1296">
        <v>279860</v>
      </c>
    </row>
    <row r="32" spans="1:8" s="18" customFormat="1" ht="12.75" x14ac:dyDescent="0.2">
      <c r="A32" s="999"/>
      <c r="B32" s="1014"/>
      <c r="C32" s="1023" t="s">
        <v>278</v>
      </c>
      <c r="D32" s="1024"/>
      <c r="E32" s="1007">
        <v>83977</v>
      </c>
      <c r="F32" s="1296">
        <v>83977</v>
      </c>
    </row>
    <row r="33" spans="1:8" s="18" customFormat="1" ht="12.75" x14ac:dyDescent="0.2">
      <c r="A33" s="999"/>
      <c r="B33" s="1014"/>
      <c r="C33" s="1023" t="s">
        <v>279</v>
      </c>
      <c r="D33" s="1024"/>
      <c r="E33" s="1007">
        <v>17501</v>
      </c>
      <c r="F33" s="1296">
        <v>17501</v>
      </c>
    </row>
    <row r="34" spans="1:8" s="18" customFormat="1" ht="12.75" x14ac:dyDescent="0.2">
      <c r="A34" s="999"/>
      <c r="B34" s="1014"/>
      <c r="C34" s="1023" t="s">
        <v>295</v>
      </c>
      <c r="D34" s="1024"/>
      <c r="E34" s="1007">
        <v>66640</v>
      </c>
      <c r="F34" s="1296">
        <v>66640</v>
      </c>
    </row>
    <row r="35" spans="1:8" s="18" customFormat="1" ht="12.75" x14ac:dyDescent="0.2">
      <c r="A35" s="999"/>
      <c r="B35" s="1014"/>
      <c r="C35" s="1015" t="s">
        <v>210</v>
      </c>
      <c r="D35" s="1016">
        <v>1000000</v>
      </c>
      <c r="E35" s="899">
        <f>1000000-E27-E28-E29-E30-E31-E32-E33-E36-E34</f>
        <v>128457.42000000004</v>
      </c>
      <c r="F35" s="1296">
        <v>0</v>
      </c>
    </row>
    <row r="36" spans="1:8" s="18" customFormat="1" ht="12.75" x14ac:dyDescent="0.2">
      <c r="A36" s="999"/>
      <c r="B36" s="1014"/>
      <c r="C36" s="1015" t="s">
        <v>281</v>
      </c>
      <c r="D36" s="1016"/>
      <c r="E36" s="899">
        <v>127635</v>
      </c>
      <c r="F36" s="1296">
        <v>127635</v>
      </c>
    </row>
    <row r="37" spans="1:8" s="18" customFormat="1" ht="13.5" x14ac:dyDescent="0.2">
      <c r="A37" s="999"/>
      <c r="B37" s="1014"/>
      <c r="C37" s="1020" t="s">
        <v>211</v>
      </c>
      <c r="D37" s="1021">
        <v>0</v>
      </c>
      <c r="E37" s="1022">
        <f>E38+E39</f>
        <v>573433.51</v>
      </c>
      <c r="F37" s="1022">
        <f>F38+F39</f>
        <v>573005</v>
      </c>
      <c r="G37" s="188"/>
    </row>
    <row r="38" spans="1:8" s="18" customFormat="1" ht="12.75" x14ac:dyDescent="0.2">
      <c r="A38" s="999"/>
      <c r="B38" s="1014"/>
      <c r="C38" s="1015" t="s">
        <v>260</v>
      </c>
      <c r="D38" s="1016">
        <v>0</v>
      </c>
      <c r="E38" s="1007">
        <f>(383413*1.27)-1</f>
        <v>486933.51</v>
      </c>
      <c r="F38" s="1296">
        <v>486934</v>
      </c>
    </row>
    <row r="39" spans="1:8" s="18" customFormat="1" ht="12.75" x14ac:dyDescent="0.2">
      <c r="A39" s="999"/>
      <c r="B39" s="1014"/>
      <c r="C39" s="1023" t="s">
        <v>353</v>
      </c>
      <c r="D39" s="1016">
        <v>0</v>
      </c>
      <c r="E39" s="1007">
        <f>68000*1.27+140</f>
        <v>86500</v>
      </c>
      <c r="F39" s="1296">
        <f>53721+6350+26000</f>
        <v>86071</v>
      </c>
      <c r="G39" s="1290"/>
      <c r="H39" s="1290"/>
    </row>
    <row r="40" spans="1:8" s="18" customFormat="1" ht="13.5" x14ac:dyDescent="0.2">
      <c r="A40" s="999"/>
      <c r="B40" s="1014"/>
      <c r="C40" s="1025" t="s">
        <v>192</v>
      </c>
      <c r="D40" s="1026">
        <f>SUM(D41:D45)</f>
        <v>22188774</v>
      </c>
      <c r="E40" s="1027">
        <f>E41+E42+E44+E43</f>
        <v>202095</v>
      </c>
      <c r="F40" s="1027">
        <f>F41+F42+F44+F43</f>
        <v>202095</v>
      </c>
    </row>
    <row r="41" spans="1:8" s="18" customFormat="1" ht="12.75" x14ac:dyDescent="0.2">
      <c r="A41" s="999"/>
      <c r="B41" s="1014"/>
      <c r="C41" s="1015" t="s">
        <v>271</v>
      </c>
      <c r="D41" s="1016">
        <v>0</v>
      </c>
      <c r="E41" s="899">
        <v>34000</v>
      </c>
      <c r="F41" s="1296">
        <v>34000</v>
      </c>
    </row>
    <row r="42" spans="1:8" s="18" customFormat="1" ht="12.75" x14ac:dyDescent="0.2">
      <c r="A42" s="999"/>
      <c r="B42" s="1014"/>
      <c r="C42" s="1015" t="s">
        <v>280</v>
      </c>
      <c r="D42" s="1016">
        <v>0</v>
      </c>
      <c r="E42" s="899">
        <v>17980</v>
      </c>
      <c r="F42" s="1296">
        <v>17980</v>
      </c>
    </row>
    <row r="43" spans="1:8" s="18" customFormat="1" ht="12.75" x14ac:dyDescent="0.2">
      <c r="A43" s="999"/>
      <c r="B43" s="1014"/>
      <c r="C43" s="1015" t="s">
        <v>291</v>
      </c>
      <c r="D43" s="1016">
        <v>0</v>
      </c>
      <c r="E43" s="899">
        <v>22480</v>
      </c>
      <c r="F43" s="1296">
        <v>22480</v>
      </c>
    </row>
    <row r="44" spans="1:8" s="18" customFormat="1" ht="12.75" x14ac:dyDescent="0.2">
      <c r="A44" s="999"/>
      <c r="B44" s="1014"/>
      <c r="C44" s="1015" t="s">
        <v>281</v>
      </c>
      <c r="D44" s="1016">
        <v>0</v>
      </c>
      <c r="E44" s="899">
        <v>127635</v>
      </c>
      <c r="F44" s="1296">
        <v>127635</v>
      </c>
    </row>
    <row r="45" spans="1:8" s="102" customFormat="1" ht="18" customHeight="1" thickBot="1" x14ac:dyDescent="0.25">
      <c r="A45" s="999"/>
      <c r="B45" s="1000" t="s">
        <v>3</v>
      </c>
      <c r="C45" s="1028" t="s">
        <v>67</v>
      </c>
      <c r="D45" s="1029">
        <f>D46</f>
        <v>22188774</v>
      </c>
      <c r="E45" s="900">
        <f>E47+E54+E60+E57</f>
        <v>33557423.600000001</v>
      </c>
      <c r="F45" s="900">
        <f>F47+F54+F60+F57</f>
        <v>6591741</v>
      </c>
    </row>
    <row r="46" spans="1:8" s="18" customFormat="1" ht="18" customHeight="1" x14ac:dyDescent="0.2">
      <c r="A46" s="999"/>
      <c r="B46" s="1000">
        <v>1</v>
      </c>
      <c r="C46" s="997" t="s">
        <v>213</v>
      </c>
      <c r="D46" s="998">
        <f>D47+D54+D57+D59</f>
        <v>22188774</v>
      </c>
      <c r="E46" s="899">
        <f>E47+E54+E57+E60</f>
        <v>33557423.600000001</v>
      </c>
      <c r="F46" s="899">
        <f>F47+F54+F57+F60</f>
        <v>6591741</v>
      </c>
    </row>
    <row r="47" spans="1:8" s="243" customFormat="1" ht="18" customHeight="1" x14ac:dyDescent="0.2">
      <c r="A47" s="999"/>
      <c r="B47" s="1000"/>
      <c r="C47" s="1030" t="s">
        <v>257</v>
      </c>
      <c r="D47" s="1031">
        <f>SUM(D48:D53)</f>
        <v>3300000</v>
      </c>
      <c r="E47" s="1032">
        <f>SUM(E48:E53)</f>
        <v>3300000</v>
      </c>
      <c r="F47" s="1032">
        <f>SUM(F48:F53)</f>
        <v>3300000</v>
      </c>
      <c r="G47" s="244"/>
    </row>
    <row r="48" spans="1:8" s="243" customFormat="1" ht="18" customHeight="1" x14ac:dyDescent="0.2">
      <c r="A48" s="999"/>
      <c r="B48" s="1000"/>
      <c r="C48" s="1033" t="s">
        <v>214</v>
      </c>
      <c r="D48" s="899">
        <v>1625400</v>
      </c>
      <c r="E48" s="899">
        <v>1625400</v>
      </c>
      <c r="F48" s="899">
        <v>1625400</v>
      </c>
    </row>
    <row r="49" spans="1:9" s="243" customFormat="1" ht="18" customHeight="1" x14ac:dyDescent="0.2">
      <c r="A49" s="999"/>
      <c r="B49" s="1000"/>
      <c r="C49" s="1033" t="s">
        <v>215</v>
      </c>
      <c r="D49" s="899">
        <v>264000</v>
      </c>
      <c r="E49" s="899">
        <v>264000</v>
      </c>
      <c r="F49" s="899">
        <v>264000</v>
      </c>
    </row>
    <row r="50" spans="1:9" s="243" customFormat="1" ht="18" customHeight="1" x14ac:dyDescent="0.2">
      <c r="A50" s="999"/>
      <c r="B50" s="1000"/>
      <c r="C50" s="1033" t="s">
        <v>216</v>
      </c>
      <c r="D50" s="899">
        <v>328671</v>
      </c>
      <c r="E50" s="899">
        <v>328671</v>
      </c>
      <c r="F50" s="899">
        <v>328671</v>
      </c>
      <c r="H50" s="193"/>
    </row>
    <row r="51" spans="1:9" s="243" customFormat="1" ht="18" customHeight="1" x14ac:dyDescent="0.2">
      <c r="A51" s="999"/>
      <c r="B51" s="1000"/>
      <c r="C51" s="1033" t="s">
        <v>217</v>
      </c>
      <c r="D51" s="899">
        <v>854929</v>
      </c>
      <c r="E51" s="899">
        <v>854929</v>
      </c>
      <c r="F51" s="899">
        <v>854929</v>
      </c>
    </row>
    <row r="52" spans="1:9" s="243" customFormat="1" ht="18" customHeight="1" x14ac:dyDescent="0.2">
      <c r="A52" s="999"/>
      <c r="B52" s="1000"/>
      <c r="C52" s="1033" t="s">
        <v>219</v>
      </c>
      <c r="D52" s="899">
        <v>140000</v>
      </c>
      <c r="E52" s="899">
        <v>140000</v>
      </c>
      <c r="F52" s="899">
        <v>140000</v>
      </c>
    </row>
    <row r="53" spans="1:9" s="243" customFormat="1" ht="15.75" customHeight="1" x14ac:dyDescent="0.2">
      <c r="A53" s="999"/>
      <c r="B53" s="1034"/>
      <c r="C53" s="1033" t="s">
        <v>218</v>
      </c>
      <c r="D53" s="899">
        <v>87000</v>
      </c>
      <c r="E53" s="899">
        <v>87000</v>
      </c>
      <c r="F53" s="899">
        <v>87000</v>
      </c>
    </row>
    <row r="54" spans="1:9" s="18" customFormat="1" ht="15.75" customHeight="1" x14ac:dyDescent="0.2">
      <c r="A54" s="999"/>
      <c r="B54" s="1034"/>
      <c r="C54" s="1030" t="s">
        <v>355</v>
      </c>
      <c r="D54" s="1031">
        <f>D55+D56</f>
        <v>6195416</v>
      </c>
      <c r="E54" s="1032">
        <f>E55+E56</f>
        <v>6195415.5999999996</v>
      </c>
      <c r="F54" s="1032">
        <f>F67+F56</f>
        <v>2663091</v>
      </c>
      <c r="G54" s="1291"/>
      <c r="H54" s="1290"/>
    </row>
    <row r="55" spans="1:9" s="18" customFormat="1" ht="15.75" customHeight="1" x14ac:dyDescent="0.2">
      <c r="A55" s="999"/>
      <c r="B55" s="1034"/>
      <c r="C55" s="1033" t="s">
        <v>254</v>
      </c>
      <c r="D55" s="1035">
        <v>4028440</v>
      </c>
      <c r="E55" s="899">
        <f>3172000*1.27</f>
        <v>4028440</v>
      </c>
      <c r="F55" s="1297">
        <v>2663091</v>
      </c>
    </row>
    <row r="56" spans="1:9" s="18" customFormat="1" ht="15.75" customHeight="1" x14ac:dyDescent="0.2">
      <c r="A56" s="999"/>
      <c r="B56" s="1034"/>
      <c r="C56" s="1033" t="s">
        <v>255</v>
      </c>
      <c r="D56" s="1035">
        <v>2166976</v>
      </c>
      <c r="E56" s="899">
        <f>1706280*1.27</f>
        <v>2166975.6</v>
      </c>
      <c r="F56" s="1296">
        <v>0</v>
      </c>
      <c r="H56" s="188"/>
    </row>
    <row r="57" spans="1:9" s="18" customFormat="1" ht="15.75" customHeight="1" x14ac:dyDescent="0.2">
      <c r="A57" s="999"/>
      <c r="B57" s="1034"/>
      <c r="C57" s="1030" t="s">
        <v>268</v>
      </c>
      <c r="D57" s="1031"/>
      <c r="E57" s="1032">
        <f>E58</f>
        <v>10740000</v>
      </c>
      <c r="F57" s="1296"/>
      <c r="H57" s="188"/>
    </row>
    <row r="58" spans="1:9" s="18" customFormat="1" ht="15.75" customHeight="1" x14ac:dyDescent="0.2">
      <c r="A58" s="999"/>
      <c r="B58" s="1034"/>
      <c r="C58" s="1033" t="s">
        <v>269</v>
      </c>
      <c r="D58" s="1035"/>
      <c r="E58" s="899">
        <v>10740000</v>
      </c>
      <c r="F58" s="1296">
        <v>0</v>
      </c>
      <c r="H58" s="188"/>
    </row>
    <row r="59" spans="1:9" s="18" customFormat="1" ht="15.75" customHeight="1" x14ac:dyDescent="0.2">
      <c r="A59" s="999"/>
      <c r="B59" s="1034"/>
      <c r="C59" s="1036" t="s">
        <v>242</v>
      </c>
      <c r="D59" s="1037">
        <f>D60</f>
        <v>12693358</v>
      </c>
      <c r="E59" s="1037">
        <f t="shared" ref="E59:F59" si="1">E60</f>
        <v>13322008</v>
      </c>
      <c r="F59" s="1037">
        <f t="shared" si="1"/>
        <v>628650</v>
      </c>
    </row>
    <row r="60" spans="1:9" s="18" customFormat="1" ht="12" customHeight="1" x14ac:dyDescent="0.2">
      <c r="A60" s="999"/>
      <c r="B60" s="1034"/>
      <c r="C60" s="509" t="s">
        <v>245</v>
      </c>
      <c r="D60" s="1038">
        <v>12693358</v>
      </c>
      <c r="E60" s="1007">
        <f>8800000+3893358+628650</f>
        <v>13322008</v>
      </c>
      <c r="F60" s="1296">
        <v>628650</v>
      </c>
    </row>
    <row r="61" spans="1:9" s="18" customFormat="1" ht="14.25" customHeight="1" x14ac:dyDescent="0.2">
      <c r="A61" s="995" t="s">
        <v>20</v>
      </c>
      <c r="B61" s="1034"/>
      <c r="C61" s="997" t="s">
        <v>44</v>
      </c>
      <c r="D61" s="998">
        <f>D62</f>
        <v>0</v>
      </c>
      <c r="E61" s="900">
        <f>E62+E65</f>
        <v>154978781</v>
      </c>
      <c r="F61" s="900">
        <f>F62+F65</f>
        <v>22420149</v>
      </c>
      <c r="G61" s="188"/>
    </row>
    <row r="62" spans="1:9" s="29" customFormat="1" ht="14.25" customHeight="1" x14ac:dyDescent="0.2">
      <c r="A62" s="1039"/>
      <c r="B62" s="1040" t="s">
        <v>2</v>
      </c>
      <c r="C62" s="1041" t="s">
        <v>70</v>
      </c>
      <c r="D62" s="1042">
        <f>D63</f>
        <v>0</v>
      </c>
      <c r="E62" s="1042">
        <f t="shared" ref="E62:F62" si="2">E63</f>
        <v>17647058</v>
      </c>
      <c r="F62" s="1042">
        <f t="shared" si="2"/>
        <v>17647058</v>
      </c>
    </row>
    <row r="63" spans="1:9" s="18" customFormat="1" ht="14.25" customHeight="1" x14ac:dyDescent="0.2">
      <c r="A63" s="995"/>
      <c r="B63" s="1034"/>
      <c r="C63" s="1015" t="s">
        <v>275</v>
      </c>
      <c r="D63" s="1016">
        <v>0</v>
      </c>
      <c r="E63" s="688">
        <f>2647059+14999999</f>
        <v>17647058</v>
      </c>
      <c r="F63" s="1296">
        <v>17647058</v>
      </c>
      <c r="G63" s="193"/>
      <c r="H63" s="189"/>
      <c r="I63" s="189"/>
    </row>
    <row r="64" spans="1:9" s="18" customFormat="1" ht="11.25" customHeight="1" x14ac:dyDescent="0.2">
      <c r="A64" s="995"/>
      <c r="B64" s="1034"/>
      <c r="C64" s="1043"/>
      <c r="D64" s="688"/>
      <c r="E64" s="899"/>
      <c r="F64" s="1296"/>
      <c r="G64" s="189"/>
    </row>
    <row r="65" spans="1:9" s="29" customFormat="1" ht="21" customHeight="1" x14ac:dyDescent="0.2">
      <c r="A65" s="995"/>
      <c r="B65" s="1000" t="s">
        <v>3</v>
      </c>
      <c r="C65" s="1028" t="s">
        <v>67</v>
      </c>
      <c r="D65" s="1292">
        <f>D66+D67</f>
        <v>5326183</v>
      </c>
      <c r="E65" s="900">
        <f>E66+E67</f>
        <v>137331723</v>
      </c>
      <c r="F65" s="900">
        <f>F66+F67</f>
        <v>4773091</v>
      </c>
      <c r="G65" s="195"/>
      <c r="H65" s="195"/>
      <c r="I65" s="195"/>
    </row>
    <row r="66" spans="1:9" s="29" customFormat="1" ht="21" customHeight="1" x14ac:dyDescent="0.2">
      <c r="A66" s="995"/>
      <c r="B66" s="1000">
        <v>1</v>
      </c>
      <c r="C66" s="1044" t="s">
        <v>268</v>
      </c>
      <c r="D66" s="1045">
        <v>0</v>
      </c>
      <c r="E66" s="899">
        <v>39336500</v>
      </c>
      <c r="F66" s="1298">
        <v>2110000</v>
      </c>
    </row>
    <row r="67" spans="1:9" s="29" customFormat="1" ht="21" customHeight="1" x14ac:dyDescent="0.2">
      <c r="A67" s="995"/>
      <c r="B67" s="1034">
        <v>2</v>
      </c>
      <c r="C67" s="1046" t="s">
        <v>256</v>
      </c>
      <c r="D67" s="1047">
        <v>5326183</v>
      </c>
      <c r="E67" s="1007">
        <f>100642282-2647059</f>
        <v>97995223</v>
      </c>
      <c r="F67" s="1296">
        <v>2663091</v>
      </c>
      <c r="G67" s="194"/>
      <c r="H67" s="194"/>
      <c r="I67" s="194"/>
    </row>
    <row r="68" spans="1:9" s="18" customFormat="1" ht="14.25" customHeight="1" x14ac:dyDescent="0.2">
      <c r="A68" s="1766" t="s">
        <v>168</v>
      </c>
      <c r="B68" s="1767"/>
      <c r="C68" s="1767"/>
      <c r="D68" s="1048">
        <f>D61+D6</f>
        <v>45658369</v>
      </c>
      <c r="E68" s="1049">
        <f>E61+E6</f>
        <v>242389205.57999998</v>
      </c>
      <c r="F68" s="1265">
        <f>F61+F6</f>
        <v>49102277</v>
      </c>
      <c r="G68" s="189"/>
    </row>
    <row r="69" spans="1:9" s="18" customFormat="1" ht="7.5" customHeight="1" x14ac:dyDescent="0.2">
      <c r="A69" s="999"/>
      <c r="B69" s="1034"/>
      <c r="C69" s="1050"/>
      <c r="D69" s="1051"/>
      <c r="E69" s="1052"/>
      <c r="F69" s="1296"/>
    </row>
    <row r="70" spans="1:9" s="18" customFormat="1" ht="14.25" customHeight="1" x14ac:dyDescent="0.2">
      <c r="A70" s="995" t="s">
        <v>24</v>
      </c>
      <c r="B70" s="996"/>
      <c r="C70" s="997" t="s">
        <v>165</v>
      </c>
      <c r="D70" s="998"/>
      <c r="E70" s="900">
        <f>E72+E74</f>
        <v>0</v>
      </c>
      <c r="F70" s="1296"/>
    </row>
    <row r="71" spans="1:9" s="18" customFormat="1" ht="8.25" customHeight="1" x14ac:dyDescent="0.2">
      <c r="A71" s="995"/>
      <c r="B71" s="996"/>
      <c r="C71" s="997"/>
      <c r="D71" s="998"/>
      <c r="E71" s="899"/>
      <c r="F71" s="1296"/>
    </row>
    <row r="72" spans="1:9" s="29" customFormat="1" ht="25.5" customHeight="1" x14ac:dyDescent="0.2">
      <c r="A72" s="995"/>
      <c r="B72" s="1000" t="s">
        <v>2</v>
      </c>
      <c r="C72" s="1028" t="s">
        <v>68</v>
      </c>
      <c r="D72" s="1029"/>
      <c r="E72" s="900">
        <f>E73</f>
        <v>0</v>
      </c>
      <c r="F72" s="1299"/>
    </row>
    <row r="73" spans="1:9" s="18" customFormat="1" ht="15" customHeight="1" x14ac:dyDescent="0.2">
      <c r="A73" s="999"/>
      <c r="B73" s="1053" t="s">
        <v>47</v>
      </c>
      <c r="C73" s="1054"/>
      <c r="D73" s="1055"/>
      <c r="E73" s="899"/>
      <c r="F73" s="1296"/>
    </row>
    <row r="74" spans="1:9" s="18" customFormat="1" ht="18.75" customHeight="1" x14ac:dyDescent="0.2">
      <c r="A74" s="999"/>
      <c r="B74" s="1056" t="s">
        <v>3</v>
      </c>
      <c r="C74" s="1001" t="s">
        <v>78</v>
      </c>
      <c r="D74" s="1002"/>
      <c r="E74" s="900">
        <f>+E76</f>
        <v>0</v>
      </c>
      <c r="F74" s="1296"/>
    </row>
    <row r="75" spans="1:9" s="18" customFormat="1" ht="12.75" customHeight="1" x14ac:dyDescent="0.2">
      <c r="A75" s="999"/>
      <c r="B75" s="1056">
        <v>1</v>
      </c>
      <c r="C75" s="791"/>
      <c r="D75" s="1057"/>
      <c r="E75" s="843"/>
      <c r="F75" s="1296"/>
    </row>
    <row r="76" spans="1:9" s="18" customFormat="1" ht="17.25" customHeight="1" x14ac:dyDescent="0.2">
      <c r="A76" s="999"/>
      <c r="B76" s="1053"/>
      <c r="C76" s="1054"/>
      <c r="D76" s="1055"/>
      <c r="E76" s="899"/>
      <c r="F76" s="1296"/>
    </row>
    <row r="77" spans="1:9" ht="14.25" customHeight="1" x14ac:dyDescent="0.2">
      <c r="A77" s="1768" t="s">
        <v>42</v>
      </c>
      <c r="B77" s="1769"/>
      <c r="C77" s="1769"/>
      <c r="D77" s="1058"/>
      <c r="E77" s="1049">
        <f>E70</f>
        <v>0</v>
      </c>
      <c r="F77" s="1296"/>
    </row>
    <row r="78" spans="1:9" ht="14.25" customHeight="1" x14ac:dyDescent="0.2">
      <c r="A78" s="999"/>
      <c r="B78" s="996"/>
      <c r="C78" s="1059" t="s">
        <v>166</v>
      </c>
      <c r="D78" s="1770">
        <f>D68</f>
        <v>45658369</v>
      </c>
      <c r="E78" s="1761">
        <f>E68+E77</f>
        <v>242389205.57999998</v>
      </c>
      <c r="F78" s="1761">
        <f>F68+F77</f>
        <v>49102277</v>
      </c>
    </row>
    <row r="79" spans="1:9" ht="14.25" customHeight="1" x14ac:dyDescent="0.2">
      <c r="A79" s="999"/>
      <c r="B79" s="996"/>
      <c r="C79" s="1059" t="s">
        <v>167</v>
      </c>
      <c r="D79" s="1770"/>
      <c r="E79" s="1761"/>
      <c r="F79" s="1761"/>
      <c r="G79" s="245"/>
    </row>
    <row r="80" spans="1:9" ht="12" customHeight="1" x14ac:dyDescent="0.2">
      <c r="A80" s="70"/>
      <c r="B80" s="289"/>
      <c r="C80" s="290"/>
      <c r="D80" s="471"/>
    </row>
    <row r="81" spans="1:4" ht="12" customHeight="1" x14ac:dyDescent="0.2">
      <c r="A81" s="70"/>
      <c r="B81" s="289"/>
      <c r="C81" s="290"/>
      <c r="D81" s="471"/>
    </row>
    <row r="82" spans="1:4" ht="12" customHeight="1" x14ac:dyDescent="0.2">
      <c r="A82" s="70"/>
      <c r="B82" s="289"/>
      <c r="C82" s="290"/>
      <c r="D82" s="471"/>
    </row>
    <row r="83" spans="1:4" ht="12" customHeight="1" x14ac:dyDescent="0.2">
      <c r="A83" s="70"/>
      <c r="B83" s="289"/>
      <c r="C83" s="290"/>
      <c r="D83" s="471"/>
    </row>
    <row r="84" spans="1:4" ht="12" customHeight="1" x14ac:dyDescent="0.2">
      <c r="A84" s="70"/>
      <c r="B84" s="289"/>
      <c r="C84" s="290"/>
      <c r="D84" s="471"/>
    </row>
    <row r="85" spans="1:4" ht="12" customHeight="1" x14ac:dyDescent="0.2">
      <c r="A85" s="70"/>
      <c r="B85" s="289"/>
      <c r="C85" s="290"/>
      <c r="D85" s="471"/>
    </row>
    <row r="86" spans="1:4" ht="12" customHeight="1" x14ac:dyDescent="0.2">
      <c r="A86" s="70"/>
      <c r="B86" s="289"/>
      <c r="C86" s="290"/>
      <c r="D86" s="471"/>
    </row>
    <row r="87" spans="1:4" ht="12" customHeight="1" x14ac:dyDescent="0.2">
      <c r="A87" s="70"/>
      <c r="B87" s="289"/>
      <c r="C87" s="290"/>
      <c r="D87" s="471"/>
    </row>
    <row r="88" spans="1:4" ht="12" customHeight="1" x14ac:dyDescent="0.2">
      <c r="A88" s="70"/>
      <c r="B88" s="289"/>
      <c r="C88" s="290"/>
      <c r="D88" s="471"/>
    </row>
    <row r="89" spans="1:4" ht="12" customHeight="1" x14ac:dyDescent="0.2">
      <c r="A89" s="70"/>
      <c r="B89" s="289"/>
      <c r="C89" s="290"/>
      <c r="D89" s="471"/>
    </row>
    <row r="90" spans="1:4" ht="12" customHeight="1" x14ac:dyDescent="0.2">
      <c r="A90" s="70"/>
      <c r="B90" s="289"/>
      <c r="C90" s="290"/>
      <c r="D90" s="471"/>
    </row>
    <row r="91" spans="1:4" ht="12" customHeight="1" x14ac:dyDescent="0.2">
      <c r="A91" s="70"/>
      <c r="B91" s="289"/>
      <c r="C91" s="290"/>
      <c r="D91" s="471"/>
    </row>
    <row r="92" spans="1:4" ht="12" customHeight="1" x14ac:dyDescent="0.2">
      <c r="A92" s="70"/>
      <c r="B92" s="289"/>
      <c r="C92" s="290"/>
      <c r="D92" s="471"/>
    </row>
    <row r="93" spans="1:4" ht="12" customHeight="1" x14ac:dyDescent="0.2">
      <c r="A93" s="70"/>
      <c r="B93" s="289"/>
      <c r="C93" s="290"/>
      <c r="D93" s="471"/>
    </row>
    <row r="94" spans="1:4" ht="12" customHeight="1" x14ac:dyDescent="0.2">
      <c r="A94" s="70"/>
      <c r="B94" s="289"/>
      <c r="C94" s="290"/>
      <c r="D94" s="471"/>
    </row>
    <row r="95" spans="1:4" ht="12" customHeight="1" x14ac:dyDescent="0.2">
      <c r="A95" s="70"/>
      <c r="B95" s="289"/>
      <c r="C95" s="290"/>
      <c r="D95" s="471"/>
    </row>
    <row r="96" spans="1:4" ht="12" customHeight="1" x14ac:dyDescent="0.2">
      <c r="A96" s="70"/>
      <c r="B96" s="289"/>
      <c r="C96" s="290"/>
      <c r="D96" s="471"/>
    </row>
    <row r="97" spans="1:4" ht="12" customHeight="1" x14ac:dyDescent="0.2">
      <c r="A97" s="70"/>
      <c r="B97" s="289"/>
      <c r="C97" s="290"/>
      <c r="D97" s="471"/>
    </row>
    <row r="98" spans="1:4" ht="12" customHeight="1" x14ac:dyDescent="0.2">
      <c r="A98" s="70"/>
      <c r="B98" s="289"/>
      <c r="C98" s="290"/>
      <c r="D98" s="471"/>
    </row>
    <row r="99" spans="1:4" ht="12" customHeight="1" x14ac:dyDescent="0.2">
      <c r="A99" s="70"/>
      <c r="B99" s="289"/>
      <c r="C99" s="290"/>
      <c r="D99" s="471"/>
    </row>
    <row r="100" spans="1:4" ht="12" customHeight="1" x14ac:dyDescent="0.2">
      <c r="A100" s="70"/>
      <c r="B100" s="289"/>
      <c r="C100" s="290"/>
      <c r="D100" s="471"/>
    </row>
    <row r="101" spans="1:4" ht="12" customHeight="1" x14ac:dyDescent="0.2">
      <c r="A101" s="70"/>
      <c r="B101" s="289"/>
      <c r="C101" s="290"/>
      <c r="D101" s="471"/>
    </row>
    <row r="102" spans="1:4" ht="12" customHeight="1" x14ac:dyDescent="0.2">
      <c r="A102" s="70"/>
      <c r="B102" s="289"/>
      <c r="C102" s="290"/>
      <c r="D102" s="471"/>
    </row>
    <row r="103" spans="1:4" ht="12" customHeight="1" x14ac:dyDescent="0.2">
      <c r="A103" s="70"/>
      <c r="B103" s="289"/>
      <c r="C103" s="290"/>
      <c r="D103" s="471"/>
    </row>
    <row r="104" spans="1:4" ht="12" customHeight="1" x14ac:dyDescent="0.2">
      <c r="A104" s="70"/>
      <c r="B104" s="289"/>
      <c r="C104" s="290"/>
      <c r="D104" s="471"/>
    </row>
    <row r="105" spans="1:4" ht="12" customHeight="1" x14ac:dyDescent="0.2">
      <c r="A105" s="70"/>
      <c r="B105" s="289"/>
      <c r="C105" s="290"/>
      <c r="D105" s="471"/>
    </row>
    <row r="106" spans="1:4" ht="12" customHeight="1" x14ac:dyDescent="0.2">
      <c r="A106" s="70"/>
      <c r="B106" s="289"/>
      <c r="C106" s="290"/>
      <c r="D106" s="471"/>
    </row>
    <row r="107" spans="1:4" ht="12" customHeight="1" x14ac:dyDescent="0.2">
      <c r="A107" s="70"/>
      <c r="B107" s="289"/>
      <c r="C107" s="290"/>
      <c r="D107" s="471"/>
    </row>
    <row r="108" spans="1:4" ht="12" customHeight="1" x14ac:dyDescent="0.2">
      <c r="A108" s="70"/>
      <c r="B108" s="289"/>
      <c r="C108" s="290"/>
      <c r="D108" s="471"/>
    </row>
    <row r="109" spans="1:4" ht="12" customHeight="1" x14ac:dyDescent="0.2">
      <c r="A109" s="70"/>
      <c r="B109" s="289"/>
      <c r="C109" s="290"/>
      <c r="D109" s="471"/>
    </row>
  </sheetData>
  <mergeCells count="7">
    <mergeCell ref="F78:F79"/>
    <mergeCell ref="E78:E79"/>
    <mergeCell ref="C1:E1"/>
    <mergeCell ref="A5:C5"/>
    <mergeCell ref="A68:C68"/>
    <mergeCell ref="A77:C77"/>
    <mergeCell ref="D78:D79"/>
  </mergeCells>
  <phoneticPr fontId="39" type="noConversion"/>
  <printOptions horizontalCentered="1" verticalCentered="1"/>
  <pageMargins left="0.78740157480314965" right="0.78740157480314965" top="0.59055118110236227" bottom="0.39370078740157483" header="0.51181102362204722" footer="0"/>
  <pageSetup paperSize="9" scale="95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4"/>
  <sheetViews>
    <sheetView workbookViewId="0">
      <selection activeCell="C12" sqref="C12:D12"/>
    </sheetView>
  </sheetViews>
  <sheetFormatPr defaultRowHeight="12.75" x14ac:dyDescent="0.2"/>
  <cols>
    <col min="2" max="2" width="11.28515625" customWidth="1"/>
    <col min="3" max="3" width="27.5703125" customWidth="1"/>
    <col min="4" max="4" width="27.5703125" style="130" customWidth="1"/>
    <col min="5" max="5" width="47.28515625" customWidth="1"/>
  </cols>
  <sheetData>
    <row r="1" spans="1:5" x14ac:dyDescent="0.2">
      <c r="A1" s="522" t="s">
        <v>43</v>
      </c>
      <c r="B1" s="522"/>
      <c r="C1" s="522"/>
      <c r="D1" s="522"/>
      <c r="E1" s="522"/>
    </row>
    <row r="2" spans="1:5" x14ac:dyDescent="0.2">
      <c r="A2" s="522"/>
      <c r="B2" s="522"/>
      <c r="C2" s="522"/>
      <c r="D2" s="522"/>
      <c r="E2" s="522"/>
    </row>
    <row r="3" spans="1:5" x14ac:dyDescent="0.2">
      <c r="A3" s="523"/>
      <c r="B3" s="524"/>
      <c r="C3" s="524"/>
      <c r="D3" s="524"/>
      <c r="E3" s="525"/>
    </row>
    <row r="4" spans="1:5" x14ac:dyDescent="0.2">
      <c r="A4" s="523"/>
      <c r="B4" s="524"/>
      <c r="C4" s="524"/>
      <c r="D4" s="524"/>
      <c r="E4" s="525"/>
    </row>
    <row r="5" spans="1:5" x14ac:dyDescent="0.2">
      <c r="A5" s="523"/>
      <c r="B5" s="524"/>
      <c r="C5" s="524"/>
      <c r="D5" s="524"/>
      <c r="E5" s="525"/>
    </row>
    <row r="6" spans="1:5" x14ac:dyDescent="0.2">
      <c r="A6" s="523"/>
      <c r="B6" s="524"/>
      <c r="C6" s="524"/>
      <c r="D6" s="524"/>
      <c r="E6" s="525"/>
    </row>
    <row r="7" spans="1:5" x14ac:dyDescent="0.2">
      <c r="A7" s="523"/>
      <c r="B7" s="524"/>
      <c r="C7" s="524"/>
      <c r="D7" s="524"/>
      <c r="E7" s="526"/>
    </row>
    <row r="8" spans="1:5" ht="13.5" thickBot="1" x14ac:dyDescent="0.25">
      <c r="A8" s="523"/>
      <c r="B8" s="524"/>
      <c r="C8" s="524"/>
      <c r="D8" s="524"/>
      <c r="E8" s="526" t="s">
        <v>357</v>
      </c>
    </row>
    <row r="9" spans="1:5" ht="39" thickBot="1" x14ac:dyDescent="0.25">
      <c r="A9" s="527" t="s">
        <v>358</v>
      </c>
      <c r="B9" s="528" t="s">
        <v>361</v>
      </c>
      <c r="C9" s="529" t="s">
        <v>362</v>
      </c>
      <c r="D9" s="529" t="s">
        <v>655</v>
      </c>
      <c r="E9" s="530" t="s">
        <v>359</v>
      </c>
    </row>
    <row r="10" spans="1:5" x14ac:dyDescent="0.2">
      <c r="A10" s="531"/>
      <c r="B10" s="532">
        <v>0</v>
      </c>
      <c r="C10" s="533">
        <v>0</v>
      </c>
      <c r="D10" s="832"/>
      <c r="E10" s="534"/>
    </row>
    <row r="11" spans="1:5" ht="13.5" thickBot="1" x14ac:dyDescent="0.25">
      <c r="A11" s="531"/>
      <c r="B11" s="532"/>
      <c r="C11" s="533"/>
      <c r="D11" s="833"/>
      <c r="E11" s="535"/>
    </row>
    <row r="12" spans="1:5" ht="13.5" thickBot="1" x14ac:dyDescent="0.25">
      <c r="A12" s="536" t="s">
        <v>360</v>
      </c>
      <c r="B12" s="537">
        <f>SUM(B10:B11)</f>
        <v>0</v>
      </c>
      <c r="C12" s="538">
        <f>SUM(C10:C11)</f>
        <v>0</v>
      </c>
      <c r="D12" s="538">
        <f>SUM(D10:D11)</f>
        <v>0</v>
      </c>
      <c r="E12" s="539"/>
    </row>
    <row r="13" spans="1:5" x14ac:dyDescent="0.2">
      <c r="A13" s="540"/>
      <c r="B13" s="540"/>
      <c r="C13" s="540"/>
      <c r="D13" s="540"/>
      <c r="E13" s="541"/>
    </row>
    <row r="14" spans="1:5" x14ac:dyDescent="0.2">
      <c r="A14" s="540"/>
      <c r="B14" s="540"/>
      <c r="C14" s="540"/>
      <c r="D14" s="540"/>
      <c r="E14" s="54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7"/>
  <sheetViews>
    <sheetView tabSelected="1" workbookViewId="0">
      <selection activeCell="B6" sqref="B6:C7"/>
    </sheetView>
  </sheetViews>
  <sheetFormatPr defaultRowHeight="12.75" x14ac:dyDescent="0.2"/>
  <cols>
    <col min="2" max="2" width="17.140625" customWidth="1"/>
    <col min="3" max="3" width="22.42578125" customWidth="1"/>
    <col min="8" max="8" width="11.140625" customWidth="1"/>
    <col min="9" max="9" width="11.42578125" customWidth="1"/>
  </cols>
  <sheetData>
    <row r="1" spans="1:9" ht="15" x14ac:dyDescent="0.25">
      <c r="A1" s="834"/>
      <c r="B1" s="835"/>
      <c r="C1" s="834"/>
      <c r="D1" s="836"/>
      <c r="E1" s="836"/>
      <c r="F1" s="1773"/>
      <c r="G1" s="1773"/>
      <c r="H1" s="1773"/>
      <c r="I1" s="1773"/>
    </row>
    <row r="2" spans="1:9" ht="55.5" customHeight="1" x14ac:dyDescent="0.25">
      <c r="A2" s="834"/>
      <c r="B2" s="835"/>
      <c r="C2" s="834"/>
      <c r="D2" s="836"/>
      <c r="E2" s="836"/>
      <c r="F2" s="837"/>
      <c r="G2" s="837"/>
      <c r="H2" s="837"/>
      <c r="I2" s="837"/>
    </row>
    <row r="3" spans="1:9" ht="28.5" customHeight="1" x14ac:dyDescent="0.25">
      <c r="A3" s="834"/>
      <c r="B3" s="835"/>
      <c r="C3" s="834"/>
      <c r="D3" s="836"/>
      <c r="E3" s="836"/>
      <c r="F3" s="837"/>
      <c r="G3" s="837"/>
      <c r="H3" s="837"/>
      <c r="I3" s="837"/>
    </row>
    <row r="4" spans="1:9" ht="12.75" customHeight="1" x14ac:dyDescent="0.25">
      <c r="A4" s="834"/>
      <c r="B4" s="835"/>
      <c r="C4" s="834"/>
      <c r="D4" s="836"/>
      <c r="E4" s="836"/>
      <c r="F4" s="837"/>
      <c r="G4" s="837"/>
      <c r="H4" s="837"/>
      <c r="I4" s="837"/>
    </row>
    <row r="5" spans="1:9" ht="15.75" thickBot="1" x14ac:dyDescent="0.3">
      <c r="A5" s="1774" t="s">
        <v>656</v>
      </c>
      <c r="B5" s="1775"/>
      <c r="C5" s="1775"/>
      <c r="D5" s="1775"/>
      <c r="E5" s="834"/>
      <c r="F5" s="834"/>
      <c r="G5" s="834"/>
      <c r="H5" s="834"/>
      <c r="I5" s="838" t="s">
        <v>357</v>
      </c>
    </row>
    <row r="6" spans="1:9" x14ac:dyDescent="0.2">
      <c r="A6" s="1776" t="s">
        <v>545</v>
      </c>
      <c r="B6" s="1778" t="s">
        <v>363</v>
      </c>
      <c r="C6" s="1778"/>
      <c r="D6" s="1780"/>
      <c r="E6" s="1780"/>
      <c r="F6" s="1780"/>
      <c r="G6" s="1780"/>
      <c r="H6" s="1780"/>
      <c r="I6" s="1781" t="s">
        <v>364</v>
      </c>
    </row>
    <row r="7" spans="1:9" ht="63" x14ac:dyDescent="0.2">
      <c r="A7" s="1777"/>
      <c r="B7" s="1779"/>
      <c r="C7" s="1779"/>
      <c r="D7" s="857" t="s">
        <v>365</v>
      </c>
      <c r="E7" s="858" t="s">
        <v>366</v>
      </c>
      <c r="F7" s="858" t="s">
        <v>220</v>
      </c>
      <c r="G7" s="858" t="s">
        <v>367</v>
      </c>
      <c r="H7" s="858" t="s">
        <v>368</v>
      </c>
      <c r="I7" s="1782"/>
    </row>
    <row r="8" spans="1:9" ht="33.75" x14ac:dyDescent="0.2">
      <c r="A8" s="1771">
        <v>1</v>
      </c>
      <c r="B8" s="840" t="s">
        <v>238</v>
      </c>
      <c r="C8" s="856" t="s">
        <v>657</v>
      </c>
      <c r="D8" s="741"/>
      <c r="E8" s="741"/>
      <c r="F8" s="741"/>
      <c r="G8" s="741"/>
      <c r="H8" s="741"/>
      <c r="I8" s="859"/>
    </row>
    <row r="9" spans="1:9" s="130" customFormat="1" x14ac:dyDescent="0.2">
      <c r="A9" s="1771"/>
      <c r="B9" s="1772" t="s">
        <v>302</v>
      </c>
      <c r="C9" s="1772"/>
      <c r="D9" s="741"/>
      <c r="E9" s="741"/>
      <c r="F9" s="741"/>
      <c r="G9" s="741"/>
      <c r="H9" s="741">
        <v>6000000</v>
      </c>
      <c r="I9" s="859">
        <f t="shared" ref="I9:I11" si="0">SUM(D9:H9)</f>
        <v>6000000</v>
      </c>
    </row>
    <row r="10" spans="1:9" s="130" customFormat="1" x14ac:dyDescent="0.2">
      <c r="A10" s="1771"/>
      <c r="B10" s="1772" t="s">
        <v>303</v>
      </c>
      <c r="C10" s="1772"/>
      <c r="D10" s="741"/>
      <c r="E10" s="741"/>
      <c r="F10" s="741"/>
      <c r="G10" s="741"/>
      <c r="H10" s="741">
        <v>6000000</v>
      </c>
      <c r="I10" s="859">
        <f t="shared" si="0"/>
        <v>6000000</v>
      </c>
    </row>
    <row r="11" spans="1:9" s="130" customFormat="1" x14ac:dyDescent="0.2">
      <c r="A11" s="1771"/>
      <c r="B11" s="1772" t="s">
        <v>304</v>
      </c>
      <c r="C11" s="1772"/>
      <c r="D11" s="741"/>
      <c r="E11" s="741"/>
      <c r="F11" s="741"/>
      <c r="G11" s="741"/>
      <c r="H11" s="741">
        <v>6000000</v>
      </c>
      <c r="I11" s="859">
        <f t="shared" si="0"/>
        <v>6000000</v>
      </c>
    </row>
    <row r="12" spans="1:9" ht="33" customHeight="1" x14ac:dyDescent="0.2">
      <c r="A12" s="860">
        <v>2</v>
      </c>
      <c r="B12" s="842" t="s">
        <v>239</v>
      </c>
      <c r="C12" s="853" t="s">
        <v>658</v>
      </c>
      <c r="D12" s="741"/>
      <c r="E12" s="741"/>
      <c r="F12" s="741"/>
      <c r="G12" s="741"/>
      <c r="H12" s="843"/>
      <c r="I12" s="859"/>
    </row>
    <row r="13" spans="1:9" s="130" customFormat="1" ht="18.75" customHeight="1" x14ac:dyDescent="0.2">
      <c r="A13" s="860"/>
      <c r="B13" s="1772" t="s">
        <v>302</v>
      </c>
      <c r="C13" s="1772"/>
      <c r="D13" s="741"/>
      <c r="E13" s="741"/>
      <c r="F13" s="741"/>
      <c r="G13" s="741"/>
      <c r="H13" s="843">
        <v>6380283</v>
      </c>
      <c r="I13" s="859">
        <f t="shared" ref="I13:I31" si="1">SUM(D13:H13)</f>
        <v>6380283</v>
      </c>
    </row>
    <row r="14" spans="1:9" s="130" customFormat="1" ht="16.5" customHeight="1" x14ac:dyDescent="0.2">
      <c r="A14" s="860"/>
      <c r="B14" s="1772" t="s">
        <v>303</v>
      </c>
      <c r="C14" s="1772"/>
      <c r="D14" s="741"/>
      <c r="E14" s="741"/>
      <c r="F14" s="741"/>
      <c r="G14" s="741"/>
      <c r="H14" s="843">
        <v>106671086</v>
      </c>
      <c r="I14" s="859">
        <f t="shared" si="1"/>
        <v>106671086</v>
      </c>
    </row>
    <row r="15" spans="1:9" s="130" customFormat="1" ht="13.5" customHeight="1" x14ac:dyDescent="0.2">
      <c r="A15" s="860"/>
      <c r="B15" s="1772" t="s">
        <v>304</v>
      </c>
      <c r="C15" s="1772"/>
      <c r="D15" s="741"/>
      <c r="E15" s="741"/>
      <c r="F15" s="741"/>
      <c r="G15" s="741"/>
      <c r="H15" s="843">
        <f>'3 bevételek'!H633</f>
        <v>103997593</v>
      </c>
      <c r="I15" s="859">
        <f t="shared" si="1"/>
        <v>103997593</v>
      </c>
    </row>
    <row r="16" spans="1:9" ht="22.5" x14ac:dyDescent="0.2">
      <c r="A16" s="860">
        <f>A12+1</f>
        <v>3</v>
      </c>
      <c r="B16" s="842" t="s">
        <v>240</v>
      </c>
      <c r="C16" s="854" t="s">
        <v>659</v>
      </c>
      <c r="D16" s="741"/>
      <c r="E16" s="741"/>
      <c r="F16" s="741"/>
      <c r="G16" s="741"/>
      <c r="H16" s="843"/>
      <c r="I16" s="859"/>
    </row>
    <row r="17" spans="1:9" s="130" customFormat="1" x14ac:dyDescent="0.2">
      <c r="A17" s="860"/>
      <c r="B17" s="1772" t="s">
        <v>302</v>
      </c>
      <c r="C17" s="1772"/>
      <c r="D17" s="741"/>
      <c r="E17" s="741"/>
      <c r="F17" s="741"/>
      <c r="G17" s="741"/>
      <c r="H17" s="843">
        <v>7617816</v>
      </c>
      <c r="I17" s="859">
        <f t="shared" si="1"/>
        <v>7617816</v>
      </c>
    </row>
    <row r="18" spans="1:9" s="130" customFormat="1" x14ac:dyDescent="0.2">
      <c r="A18" s="860"/>
      <c r="B18" s="1772" t="s">
        <v>303</v>
      </c>
      <c r="C18" s="1772"/>
      <c r="D18" s="741"/>
      <c r="E18" s="741"/>
      <c r="F18" s="741"/>
      <c r="G18" s="741"/>
      <c r="H18" s="843">
        <v>142751570</v>
      </c>
      <c r="I18" s="859">
        <f t="shared" si="1"/>
        <v>142751570</v>
      </c>
    </row>
    <row r="19" spans="1:9" s="130" customFormat="1" x14ac:dyDescent="0.2">
      <c r="A19" s="860"/>
      <c r="B19" s="1772" t="s">
        <v>304</v>
      </c>
      <c r="C19" s="1772"/>
      <c r="D19" s="741"/>
      <c r="E19" s="741"/>
      <c r="F19" s="741"/>
      <c r="G19" s="741"/>
      <c r="H19" s="843">
        <v>0</v>
      </c>
      <c r="I19" s="859">
        <f t="shared" si="1"/>
        <v>0</v>
      </c>
    </row>
    <row r="20" spans="1:9" ht="22.5" x14ac:dyDescent="0.2">
      <c r="A20" s="860">
        <f t="shared" ref="A20" si="2">A16+1</f>
        <v>4</v>
      </c>
      <c r="B20" s="842" t="s">
        <v>241</v>
      </c>
      <c r="C20" s="854" t="s">
        <v>660</v>
      </c>
      <c r="D20" s="741"/>
      <c r="E20" s="741"/>
      <c r="F20" s="741"/>
      <c r="G20" s="741"/>
      <c r="H20" s="741"/>
      <c r="I20" s="859"/>
    </row>
    <row r="21" spans="1:9" x14ac:dyDescent="0.2">
      <c r="A21" s="860"/>
      <c r="B21" s="1772" t="s">
        <v>302</v>
      </c>
      <c r="C21" s="1772"/>
      <c r="D21" s="741"/>
      <c r="E21" s="741"/>
      <c r="F21" s="741"/>
      <c r="G21" s="741"/>
      <c r="H21" s="741">
        <v>533400</v>
      </c>
      <c r="I21" s="859">
        <f t="shared" si="1"/>
        <v>533400</v>
      </c>
    </row>
    <row r="22" spans="1:9" s="130" customFormat="1" x14ac:dyDescent="0.2">
      <c r="A22" s="860"/>
      <c r="B22" s="1772" t="s">
        <v>303</v>
      </c>
      <c r="C22" s="1772"/>
      <c r="D22" s="741"/>
      <c r="E22" s="741"/>
      <c r="F22" s="741"/>
      <c r="G22" s="741"/>
      <c r="H22" s="741">
        <v>53700000</v>
      </c>
      <c r="I22" s="859">
        <f t="shared" si="1"/>
        <v>53700000</v>
      </c>
    </row>
    <row r="23" spans="1:9" x14ac:dyDescent="0.2">
      <c r="A23" s="860"/>
      <c r="B23" s="1772" t="s">
        <v>304</v>
      </c>
      <c r="C23" s="1772"/>
      <c r="D23" s="741"/>
      <c r="E23" s="741"/>
      <c r="F23" s="741"/>
      <c r="G23" s="741"/>
      <c r="H23" s="741">
        <f>'3 bevételek'!H632</f>
        <v>52089000</v>
      </c>
      <c r="I23" s="859">
        <f t="shared" si="1"/>
        <v>52089000</v>
      </c>
    </row>
    <row r="24" spans="1:9" ht="22.5" x14ac:dyDescent="0.2">
      <c r="A24" s="860">
        <f>A20+1</f>
        <v>5</v>
      </c>
      <c r="B24" s="842" t="s">
        <v>242</v>
      </c>
      <c r="C24" s="854" t="s">
        <v>661</v>
      </c>
      <c r="D24" s="741">
        <f>'[2]6 beruházások'!D32</f>
        <v>750000</v>
      </c>
      <c r="E24" s="741"/>
      <c r="F24" s="741"/>
      <c r="G24" s="741"/>
      <c r="H24" s="741"/>
      <c r="I24" s="859">
        <f t="shared" si="1"/>
        <v>750000</v>
      </c>
    </row>
    <row r="25" spans="1:9" s="130" customFormat="1" x14ac:dyDescent="0.2">
      <c r="A25" s="860"/>
      <c r="B25" s="1772" t="s">
        <v>302</v>
      </c>
      <c r="C25" s="1772"/>
      <c r="D25" s="741">
        <v>12693385</v>
      </c>
      <c r="E25" s="741"/>
      <c r="F25" s="741"/>
      <c r="G25" s="741"/>
      <c r="H25" s="741">
        <v>533400</v>
      </c>
      <c r="I25" s="859">
        <f t="shared" si="1"/>
        <v>13226785</v>
      </c>
    </row>
    <row r="26" spans="1:9" s="130" customFormat="1" x14ac:dyDescent="0.2">
      <c r="A26" s="860"/>
      <c r="B26" s="1772" t="s">
        <v>303</v>
      </c>
      <c r="C26" s="1772"/>
      <c r="D26" s="741">
        <f>'6 beruházások'!E60</f>
        <v>13322008</v>
      </c>
      <c r="E26" s="741"/>
      <c r="F26" s="741"/>
      <c r="G26" s="741"/>
      <c r="H26" s="741">
        <v>53340</v>
      </c>
      <c r="I26" s="859">
        <f t="shared" si="1"/>
        <v>13375348</v>
      </c>
    </row>
    <row r="27" spans="1:9" s="130" customFormat="1" x14ac:dyDescent="0.2">
      <c r="A27" s="860"/>
      <c r="B27" s="1772" t="s">
        <v>304</v>
      </c>
      <c r="C27" s="1772"/>
      <c r="D27" s="741">
        <f>'6 beruházások'!F60</f>
        <v>628650</v>
      </c>
      <c r="E27" s="741"/>
      <c r="F27" s="741"/>
      <c r="G27" s="741"/>
      <c r="H27" s="741">
        <v>0</v>
      </c>
      <c r="I27" s="859">
        <f t="shared" si="1"/>
        <v>628650</v>
      </c>
    </row>
    <row r="28" spans="1:9" x14ac:dyDescent="0.2">
      <c r="A28" s="860">
        <f>A24+1</f>
        <v>6</v>
      </c>
      <c r="B28" s="842" t="s">
        <v>663</v>
      </c>
      <c r="C28" s="854" t="s">
        <v>664</v>
      </c>
      <c r="D28" s="741">
        <f>'[2]6 beruházások'!D36</f>
        <v>0</v>
      </c>
      <c r="E28" s="741"/>
      <c r="F28" s="741"/>
      <c r="G28" s="741"/>
      <c r="H28" s="741"/>
      <c r="I28" s="859">
        <f t="shared" si="1"/>
        <v>0</v>
      </c>
    </row>
    <row r="29" spans="1:9" s="130" customFormat="1" x14ac:dyDescent="0.2">
      <c r="A29" s="860"/>
      <c r="B29" s="1772" t="s">
        <v>302</v>
      </c>
      <c r="C29" s="1772"/>
      <c r="D29" s="741"/>
      <c r="E29" s="741"/>
      <c r="F29" s="741"/>
      <c r="G29" s="741"/>
      <c r="H29" s="741">
        <v>250000</v>
      </c>
      <c r="I29" s="859">
        <f t="shared" si="1"/>
        <v>250000</v>
      </c>
    </row>
    <row r="30" spans="1:9" s="130" customFormat="1" x14ac:dyDescent="0.2">
      <c r="A30" s="860"/>
      <c r="B30" s="1772" t="s">
        <v>303</v>
      </c>
      <c r="C30" s="1772"/>
      <c r="D30" s="741"/>
      <c r="E30" s="741"/>
      <c r="F30" s="741"/>
      <c r="G30" s="741"/>
      <c r="H30" s="741">
        <v>250000</v>
      </c>
      <c r="I30" s="859">
        <f t="shared" si="1"/>
        <v>250000</v>
      </c>
    </row>
    <row r="31" spans="1:9" s="130" customFormat="1" ht="13.5" thickBot="1" x14ac:dyDescent="0.25">
      <c r="A31" s="861"/>
      <c r="B31" s="1797" t="s">
        <v>304</v>
      </c>
      <c r="C31" s="1797"/>
      <c r="D31" s="862"/>
      <c r="E31" s="862"/>
      <c r="F31" s="862"/>
      <c r="G31" s="862"/>
      <c r="H31" s="862">
        <v>0</v>
      </c>
      <c r="I31" s="863">
        <f t="shared" si="1"/>
        <v>0</v>
      </c>
    </row>
    <row r="32" spans="1:9" s="130" customFormat="1" x14ac:dyDescent="0.2">
      <c r="A32" s="844"/>
      <c r="B32" s="425"/>
      <c r="C32" s="425"/>
      <c r="D32" s="841"/>
      <c r="E32" s="841"/>
      <c r="F32" s="841"/>
      <c r="G32" s="841"/>
      <c r="H32" s="841"/>
      <c r="I32" s="855"/>
    </row>
    <row r="33" spans="1:9" x14ac:dyDescent="0.2">
      <c r="A33" s="1787" t="s">
        <v>662</v>
      </c>
      <c r="B33" s="1788"/>
      <c r="C33" s="1788"/>
      <c r="D33" s="1788"/>
      <c r="E33" s="1788"/>
      <c r="F33" s="1788"/>
      <c r="G33" s="1788"/>
      <c r="H33" s="1788"/>
      <c r="I33" s="1788"/>
    </row>
    <row r="34" spans="1:9" x14ac:dyDescent="0.2">
      <c r="A34" s="1789" t="s">
        <v>545</v>
      </c>
      <c r="B34" s="1791" t="s">
        <v>363</v>
      </c>
      <c r="C34" s="1792"/>
      <c r="D34" s="1795" t="s">
        <v>169</v>
      </c>
      <c r="E34" s="1795"/>
      <c r="F34" s="1795"/>
      <c r="G34" s="845"/>
      <c r="H34" s="845"/>
      <c r="I34" s="845"/>
    </row>
    <row r="35" spans="1:9" x14ac:dyDescent="0.2">
      <c r="A35" s="1790"/>
      <c r="B35" s="1793"/>
      <c r="C35" s="1794"/>
      <c r="D35" s="839" t="s">
        <v>369</v>
      </c>
      <c r="E35" s="1796" t="s">
        <v>370</v>
      </c>
      <c r="F35" s="1796"/>
      <c r="G35" s="845"/>
      <c r="H35" s="846"/>
      <c r="I35" s="846"/>
    </row>
    <row r="36" spans="1:9" ht="15" x14ac:dyDescent="0.25">
      <c r="A36" s="847">
        <v>1</v>
      </c>
      <c r="B36" s="1798"/>
      <c r="C36" s="1799"/>
      <c r="D36" s="848"/>
      <c r="E36" s="1783"/>
      <c r="F36" s="1783"/>
      <c r="G36" s="849"/>
      <c r="H36" s="849"/>
      <c r="I36" s="849"/>
    </row>
    <row r="37" spans="1:9" ht="15" x14ac:dyDescent="0.25">
      <c r="A37" s="850">
        <v>2</v>
      </c>
      <c r="B37" s="1784"/>
      <c r="C37" s="1785"/>
      <c r="D37" s="851"/>
      <c r="E37" s="1786"/>
      <c r="F37" s="1786"/>
      <c r="G37" s="836"/>
      <c r="H37" s="836"/>
      <c r="I37" s="836"/>
    </row>
  </sheetData>
  <mergeCells count="34">
    <mergeCell ref="B27:C27"/>
    <mergeCell ref="B29:C29"/>
    <mergeCell ref="B30:C30"/>
    <mergeCell ref="B31:C31"/>
    <mergeCell ref="B36:C36"/>
    <mergeCell ref="E36:F36"/>
    <mergeCell ref="B37:C37"/>
    <mergeCell ref="E37:F37"/>
    <mergeCell ref="A33:I33"/>
    <mergeCell ref="A34:A35"/>
    <mergeCell ref="B34:C35"/>
    <mergeCell ref="D34:F34"/>
    <mergeCell ref="E35:F35"/>
    <mergeCell ref="B13:C13"/>
    <mergeCell ref="B25:C25"/>
    <mergeCell ref="B26:C26"/>
    <mergeCell ref="B21:C21"/>
    <mergeCell ref="B22:C22"/>
    <mergeCell ref="B23:C23"/>
    <mergeCell ref="B14:C14"/>
    <mergeCell ref="B15:C15"/>
    <mergeCell ref="B17:C17"/>
    <mergeCell ref="B18:C18"/>
    <mergeCell ref="B19:C19"/>
    <mergeCell ref="A8:A11"/>
    <mergeCell ref="B9:C9"/>
    <mergeCell ref="F1:I1"/>
    <mergeCell ref="A5:D5"/>
    <mergeCell ref="A6:A7"/>
    <mergeCell ref="B6:C7"/>
    <mergeCell ref="D6:H6"/>
    <mergeCell ref="I6:I7"/>
    <mergeCell ref="B10:C10"/>
    <mergeCell ref="B11:C11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0"/>
  <sheetViews>
    <sheetView workbookViewId="0">
      <selection activeCell="C31" sqref="C31"/>
    </sheetView>
  </sheetViews>
  <sheetFormatPr defaultRowHeight="12.75" x14ac:dyDescent="0.2"/>
  <cols>
    <col min="2" max="2" width="18.28515625" customWidth="1"/>
    <col min="3" max="3" width="9.5703125" bestFit="1" customWidth="1"/>
    <col min="7" max="7" width="10.85546875" customWidth="1"/>
    <col min="8" max="8" width="11.7109375" customWidth="1"/>
  </cols>
  <sheetData>
    <row r="1" spans="1:8" x14ac:dyDescent="0.2">
      <c r="A1" s="554"/>
      <c r="B1" s="555"/>
      <c r="C1" s="555"/>
      <c r="D1" s="556"/>
      <c r="E1" s="556"/>
      <c r="F1" s="556"/>
      <c r="G1" s="556"/>
      <c r="H1" s="557"/>
    </row>
    <row r="2" spans="1:8" ht="33.75" customHeight="1" thickBot="1" x14ac:dyDescent="0.25">
      <c r="A2" s="554"/>
      <c r="B2" s="555"/>
      <c r="C2" s="555"/>
      <c r="D2" s="556"/>
      <c r="E2" s="556"/>
      <c r="F2" s="556"/>
      <c r="G2" s="556"/>
      <c r="H2" s="558" t="s">
        <v>371</v>
      </c>
    </row>
    <row r="3" spans="1:8" x14ac:dyDescent="0.2">
      <c r="A3" s="1815" t="s">
        <v>372</v>
      </c>
      <c r="B3" s="1816"/>
      <c r="C3" s="559"/>
      <c r="D3" s="1819" t="s">
        <v>373</v>
      </c>
      <c r="E3" s="1820"/>
      <c r="F3" s="1820"/>
      <c r="G3" s="1821"/>
      <c r="H3" s="1822" t="s">
        <v>1</v>
      </c>
    </row>
    <row r="4" spans="1:8" ht="38.25" x14ac:dyDescent="0.2">
      <c r="A4" s="1817"/>
      <c r="B4" s="1818"/>
      <c r="C4" s="560" t="s">
        <v>388</v>
      </c>
      <c r="D4" s="561" t="s">
        <v>374</v>
      </c>
      <c r="E4" s="561" t="s">
        <v>375</v>
      </c>
      <c r="F4" s="561" t="s">
        <v>376</v>
      </c>
      <c r="G4" s="562" t="s">
        <v>377</v>
      </c>
      <c r="H4" s="1823"/>
    </row>
    <row r="5" spans="1:8" ht="24" x14ac:dyDescent="0.2">
      <c r="A5" s="563" t="s">
        <v>2</v>
      </c>
      <c r="B5" s="600" t="s">
        <v>378</v>
      </c>
      <c r="C5" s="564"/>
      <c r="D5" s="564">
        <v>750000</v>
      </c>
      <c r="E5" s="564">
        <v>750000</v>
      </c>
      <c r="F5" s="564">
        <v>750000</v>
      </c>
      <c r="G5" s="564">
        <f>750000*10</f>
        <v>7500000</v>
      </c>
      <c r="H5" s="565">
        <f>SUM(C5:G5)</f>
        <v>9750000</v>
      </c>
    </row>
    <row r="6" spans="1:8" s="130" customFormat="1" x14ac:dyDescent="0.2">
      <c r="A6" s="594"/>
      <c r="B6" s="308" t="s">
        <v>302</v>
      </c>
      <c r="C6" s="564">
        <v>750000</v>
      </c>
      <c r="D6" s="599"/>
      <c r="E6" s="599"/>
      <c r="F6" s="599"/>
      <c r="G6" s="599"/>
      <c r="H6" s="595">
        <f>SUM(C6:G6)</f>
        <v>750000</v>
      </c>
    </row>
    <row r="7" spans="1:8" s="130" customFormat="1" x14ac:dyDescent="0.2">
      <c r="A7" s="594"/>
      <c r="B7" s="308" t="s">
        <v>303</v>
      </c>
      <c r="C7" s="564">
        <v>812500</v>
      </c>
      <c r="D7" s="599"/>
      <c r="E7" s="599"/>
      <c r="F7" s="599"/>
      <c r="G7" s="599"/>
      <c r="H7" s="595">
        <f t="shared" ref="H7:H8" si="0">SUM(C7:G7)</f>
        <v>812500</v>
      </c>
    </row>
    <row r="8" spans="1:8" s="130" customFormat="1" x14ac:dyDescent="0.2">
      <c r="A8" s="594"/>
      <c r="B8" s="308" t="s">
        <v>304</v>
      </c>
      <c r="C8" s="564">
        <v>812500</v>
      </c>
      <c r="D8" s="599"/>
      <c r="E8" s="599"/>
      <c r="F8" s="599"/>
      <c r="G8" s="599"/>
      <c r="H8" s="595">
        <f t="shared" si="0"/>
        <v>812500</v>
      </c>
    </row>
    <row r="9" spans="1:8" ht="13.5" thickBot="1" x14ac:dyDescent="0.25">
      <c r="A9" s="1802" t="s">
        <v>379</v>
      </c>
      <c r="B9" s="1824"/>
      <c r="C9" s="566"/>
      <c r="D9" s="567">
        <f t="shared" ref="D9:H9" si="1">SUM(D5:D5)</f>
        <v>750000</v>
      </c>
      <c r="E9" s="567">
        <f t="shared" si="1"/>
        <v>750000</v>
      </c>
      <c r="F9" s="567">
        <f t="shared" si="1"/>
        <v>750000</v>
      </c>
      <c r="G9" s="567">
        <f t="shared" si="1"/>
        <v>7500000</v>
      </c>
      <c r="H9" s="568">
        <f t="shared" si="1"/>
        <v>9750000</v>
      </c>
    </row>
    <row r="10" spans="1:8" s="130" customFormat="1" ht="13.5" thickBot="1" x14ac:dyDescent="0.25">
      <c r="A10" s="596"/>
      <c r="B10" s="602" t="s">
        <v>302</v>
      </c>
      <c r="C10" s="597">
        <v>750000</v>
      </c>
      <c r="D10" s="598"/>
      <c r="E10" s="598"/>
      <c r="F10" s="598"/>
      <c r="G10" s="598"/>
      <c r="H10" s="598"/>
    </row>
    <row r="11" spans="1:8" s="130" customFormat="1" ht="13.5" thickBot="1" x14ac:dyDescent="0.25">
      <c r="A11" s="596"/>
      <c r="B11" s="602" t="s">
        <v>303</v>
      </c>
      <c r="C11" s="597">
        <v>812500</v>
      </c>
      <c r="D11" s="598"/>
      <c r="E11" s="598"/>
      <c r="F11" s="598"/>
      <c r="G11" s="598"/>
      <c r="H11" s="598"/>
    </row>
    <row r="12" spans="1:8" s="130" customFormat="1" ht="13.5" thickBot="1" x14ac:dyDescent="0.25">
      <c r="A12" s="596"/>
      <c r="B12" s="602" t="s">
        <v>304</v>
      </c>
      <c r="C12" s="597">
        <v>812500</v>
      </c>
      <c r="D12" s="598"/>
      <c r="E12" s="598"/>
      <c r="F12" s="598"/>
      <c r="G12" s="598"/>
      <c r="H12" s="598"/>
    </row>
    <row r="13" spans="1:8" x14ac:dyDescent="0.2">
      <c r="A13" s="569" t="s">
        <v>380</v>
      </c>
      <c r="B13" s="555"/>
      <c r="C13" s="555"/>
      <c r="D13" s="556"/>
      <c r="E13" s="556"/>
      <c r="F13" s="556"/>
      <c r="G13" s="556"/>
      <c r="H13" s="557"/>
    </row>
    <row r="14" spans="1:8" x14ac:dyDescent="0.2">
      <c r="A14" s="570"/>
      <c r="B14" s="555"/>
      <c r="C14" s="555"/>
      <c r="D14" s="556"/>
      <c r="E14" s="556"/>
      <c r="F14" s="556"/>
      <c r="G14" s="556"/>
      <c r="H14" s="557"/>
    </row>
    <row r="15" spans="1:8" ht="13.5" thickBot="1" x14ac:dyDescent="0.25">
      <c r="A15" s="571"/>
      <c r="B15" s="572"/>
      <c r="C15" s="572"/>
      <c r="D15" s="573"/>
      <c r="E15" s="573"/>
      <c r="F15" s="573"/>
      <c r="G15" s="573"/>
      <c r="H15" s="574"/>
    </row>
    <row r="16" spans="1:8" x14ac:dyDescent="0.2">
      <c r="A16" s="1815" t="s">
        <v>381</v>
      </c>
      <c r="B16" s="1816"/>
      <c r="C16" s="559"/>
      <c r="D16" s="1819" t="s">
        <v>389</v>
      </c>
      <c r="E16" s="1820"/>
      <c r="F16" s="1820"/>
      <c r="G16" s="1821"/>
      <c r="H16" s="1822" t="s">
        <v>1</v>
      </c>
    </row>
    <row r="17" spans="1:8" ht="38.25" x14ac:dyDescent="0.2">
      <c r="A17" s="1817"/>
      <c r="B17" s="1818"/>
      <c r="C17" s="560" t="s">
        <v>388</v>
      </c>
      <c r="D17" s="561" t="s">
        <v>374</v>
      </c>
      <c r="E17" s="561" t="s">
        <v>375</v>
      </c>
      <c r="F17" s="561" t="s">
        <v>376</v>
      </c>
      <c r="G17" s="562" t="s">
        <v>382</v>
      </c>
      <c r="H17" s="1823"/>
    </row>
    <row r="18" spans="1:8" x14ac:dyDescent="0.2">
      <c r="A18" s="563" t="s">
        <v>2</v>
      </c>
      <c r="B18" s="575"/>
      <c r="C18" s="576"/>
      <c r="D18" s="576"/>
      <c r="E18" s="577"/>
      <c r="F18" s="578"/>
      <c r="G18" s="578"/>
      <c r="H18" s="565">
        <f>SUM(C18:G18)</f>
        <v>0</v>
      </c>
    </row>
    <row r="19" spans="1:8" ht="13.5" thickBot="1" x14ac:dyDescent="0.25">
      <c r="A19" s="1802" t="s">
        <v>379</v>
      </c>
      <c r="B19" s="1803"/>
      <c r="C19" s="579">
        <f t="shared" ref="C19:H19" si="2">SUM(C18:C18)</f>
        <v>0</v>
      </c>
      <c r="D19" s="567">
        <f t="shared" si="2"/>
        <v>0</v>
      </c>
      <c r="E19" s="567">
        <f t="shared" si="2"/>
        <v>0</v>
      </c>
      <c r="F19" s="567">
        <f t="shared" si="2"/>
        <v>0</v>
      </c>
      <c r="G19" s="567">
        <f t="shared" si="2"/>
        <v>0</v>
      </c>
      <c r="H19" s="580">
        <f t="shared" si="2"/>
        <v>0</v>
      </c>
    </row>
    <row r="20" spans="1:8" ht="13.5" thickBot="1" x14ac:dyDescent="0.25">
      <c r="A20" s="554"/>
      <c r="B20" s="555"/>
      <c r="C20" s="555"/>
      <c r="D20" s="556"/>
      <c r="E20" s="556"/>
      <c r="F20" s="556"/>
      <c r="G20" s="556"/>
      <c r="H20" s="581"/>
    </row>
    <row r="21" spans="1:8" x14ac:dyDescent="0.2">
      <c r="A21" s="1804" t="s">
        <v>383</v>
      </c>
      <c r="B21" s="1805"/>
      <c r="C21" s="559"/>
      <c r="D21" s="1808" t="s">
        <v>373</v>
      </c>
      <c r="E21" s="1808"/>
      <c r="F21" s="1808"/>
      <c r="G21" s="1808"/>
      <c r="H21" s="1809" t="s">
        <v>1</v>
      </c>
    </row>
    <row r="22" spans="1:8" ht="96" x14ac:dyDescent="0.2">
      <c r="A22" s="1806"/>
      <c r="B22" s="1807"/>
      <c r="C22" s="582" t="s">
        <v>388</v>
      </c>
      <c r="D22" s="583" t="s">
        <v>374</v>
      </c>
      <c r="E22" s="583" t="s">
        <v>375</v>
      </c>
      <c r="F22" s="583" t="s">
        <v>376</v>
      </c>
      <c r="G22" s="584" t="s">
        <v>384</v>
      </c>
      <c r="H22" s="1810"/>
    </row>
    <row r="23" spans="1:8" x14ac:dyDescent="0.2">
      <c r="A23" s="1811">
        <v>1</v>
      </c>
      <c r="B23" s="1813" t="s">
        <v>385</v>
      </c>
      <c r="C23" s="585"/>
      <c r="D23" s="585"/>
      <c r="E23" s="585"/>
      <c r="F23" s="585"/>
      <c r="G23" s="585"/>
      <c r="H23" s="586">
        <f t="shared" ref="H23:H28" si="3">SUM(C23:G23)</f>
        <v>0</v>
      </c>
    </row>
    <row r="24" spans="1:8" x14ac:dyDescent="0.2">
      <c r="A24" s="1812"/>
      <c r="B24" s="1814"/>
      <c r="C24" s="585"/>
      <c r="D24" s="585"/>
      <c r="E24" s="585"/>
      <c r="F24" s="585"/>
      <c r="G24" s="585"/>
      <c r="H24" s="586">
        <f t="shared" si="3"/>
        <v>0</v>
      </c>
    </row>
    <row r="25" spans="1:8" ht="36" x14ac:dyDescent="0.2">
      <c r="A25" s="587">
        <v>2</v>
      </c>
      <c r="B25" s="588" t="s">
        <v>386</v>
      </c>
      <c r="C25" s="585"/>
      <c r="D25" s="585"/>
      <c r="E25" s="585"/>
      <c r="F25" s="585"/>
      <c r="G25" s="585"/>
      <c r="H25" s="586">
        <f t="shared" si="3"/>
        <v>0</v>
      </c>
    </row>
    <row r="26" spans="1:8" x14ac:dyDescent="0.2">
      <c r="A26" s="1800" t="s">
        <v>379</v>
      </c>
      <c r="B26" s="1801"/>
      <c r="C26" s="589">
        <f>SUM(C23:C25)</f>
        <v>0</v>
      </c>
      <c r="D26" s="589">
        <f>SUM(D23:D25)</f>
        <v>0</v>
      </c>
      <c r="E26" s="589">
        <f>SUM(E23:E25)</f>
        <v>0</v>
      </c>
      <c r="F26" s="589">
        <f>SUM(F23:F25)</f>
        <v>0</v>
      </c>
      <c r="G26" s="589">
        <f>SUM(G23:G25)</f>
        <v>0</v>
      </c>
      <c r="H26" s="586">
        <f t="shared" si="3"/>
        <v>0</v>
      </c>
    </row>
    <row r="27" spans="1:8" ht="13.5" thickBot="1" x14ac:dyDescent="0.25">
      <c r="A27" s="590" t="s">
        <v>3</v>
      </c>
      <c r="B27" s="591" t="s">
        <v>387</v>
      </c>
      <c r="C27" s="592"/>
      <c r="D27" s="592">
        <f>38000*1000</f>
        <v>38000000</v>
      </c>
      <c r="E27" s="592">
        <v>38200000</v>
      </c>
      <c r="F27" s="592">
        <v>38400000</v>
      </c>
      <c r="G27" s="592">
        <f>384000*1000</f>
        <v>384000000</v>
      </c>
      <c r="H27" s="593">
        <f t="shared" si="3"/>
        <v>498600000</v>
      </c>
    </row>
    <row r="28" spans="1:8" s="130" customFormat="1" ht="13.5" thickBot="1" x14ac:dyDescent="0.25">
      <c r="A28" s="601"/>
      <c r="B28" s="301" t="s">
        <v>302</v>
      </c>
      <c r="C28" s="603">
        <f>28000000+8712200</f>
        <v>36712200</v>
      </c>
      <c r="D28" s="605"/>
      <c r="E28" s="605"/>
      <c r="F28" s="605"/>
      <c r="G28" s="605"/>
      <c r="H28" s="604">
        <f t="shared" si="3"/>
        <v>36712200</v>
      </c>
    </row>
    <row r="29" spans="1:8" s="130" customFormat="1" ht="13.5" thickBot="1" x14ac:dyDescent="0.25">
      <c r="A29" s="601"/>
      <c r="B29" s="301" t="s">
        <v>303</v>
      </c>
      <c r="C29" s="603">
        <f>28000000+8712200</f>
        <v>36712200</v>
      </c>
      <c r="D29" s="605"/>
      <c r="E29" s="605"/>
      <c r="F29" s="605"/>
      <c r="G29" s="605"/>
      <c r="H29" s="604">
        <f t="shared" ref="H29:H30" si="4">SUM(C29:G29)</f>
        <v>36712200</v>
      </c>
    </row>
    <row r="30" spans="1:8" s="130" customFormat="1" ht="13.5" thickBot="1" x14ac:dyDescent="0.25">
      <c r="A30" s="601"/>
      <c r="B30" s="301" t="s">
        <v>304</v>
      </c>
      <c r="C30" s="603">
        <f>12961557+29576949</f>
        <v>42538506</v>
      </c>
      <c r="D30" s="605"/>
      <c r="E30" s="605"/>
      <c r="F30" s="605"/>
      <c r="G30" s="605"/>
      <c r="H30" s="604">
        <f t="shared" si="4"/>
        <v>42538506</v>
      </c>
    </row>
  </sheetData>
  <mergeCells count="14">
    <mergeCell ref="A3:B4"/>
    <mergeCell ref="D3:G3"/>
    <mergeCell ref="H3:H4"/>
    <mergeCell ref="A9:B9"/>
    <mergeCell ref="A16:B17"/>
    <mergeCell ref="D16:G16"/>
    <mergeCell ref="H16:H17"/>
    <mergeCell ref="A26:B26"/>
    <mergeCell ref="A19:B19"/>
    <mergeCell ref="A21:B22"/>
    <mergeCell ref="D21:G21"/>
    <mergeCell ref="H21:H22"/>
    <mergeCell ref="A23:A24"/>
    <mergeCell ref="B23:B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9</vt:i4>
      </vt:variant>
    </vt:vector>
  </HeadingPairs>
  <TitlesOfParts>
    <vt:vector size="27" baseType="lpstr">
      <vt:lpstr>1. pénzkészlet</vt:lpstr>
      <vt:lpstr>2 mérleg</vt:lpstr>
      <vt:lpstr>3 bevételek</vt:lpstr>
      <vt:lpstr>4 int-i bevételek </vt:lpstr>
      <vt:lpstr>5 kiadások</vt:lpstr>
      <vt:lpstr>6 beruházások</vt:lpstr>
      <vt:lpstr>7. céltartalék</vt:lpstr>
      <vt:lpstr>8. EU</vt:lpstr>
      <vt:lpstr>9. többéves</vt:lpstr>
      <vt:lpstr>10. fejl</vt:lpstr>
      <vt:lpstr>11. maradvány</vt:lpstr>
      <vt:lpstr>12A vagyon16</vt:lpstr>
      <vt:lpstr>12B vagyon17</vt:lpstr>
      <vt:lpstr>12C</vt:lpstr>
      <vt:lpstr>13. ered.kim.</vt:lpstr>
      <vt:lpstr>1. kimutatás</vt:lpstr>
      <vt:lpstr>2. kimutatás</vt:lpstr>
      <vt:lpstr>3. kimutatás</vt:lpstr>
      <vt:lpstr>'3 bevételek'!Nyomtatási_cím</vt:lpstr>
      <vt:lpstr>'4 int-i bevételek '!Nyomtatási_cím</vt:lpstr>
      <vt:lpstr>'5 kiadások'!Nyomtatási_cím</vt:lpstr>
      <vt:lpstr>'6 beruházások'!Nyomtatási_cím</vt:lpstr>
      <vt:lpstr>'2 mérleg'!Nyomtatási_terület</vt:lpstr>
      <vt:lpstr>'3 bevételek'!Nyomtatási_terület</vt:lpstr>
      <vt:lpstr>'4 int-i bevételek '!Nyomtatási_terület</vt:lpstr>
      <vt:lpstr>'5 kiadások'!Nyomtatási_terület</vt:lpstr>
      <vt:lpstr>'6 beruházások'!Nyomtatási_terület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Boldoczki</dc:creator>
  <cp:lastModifiedBy>Budai Ferencne</cp:lastModifiedBy>
  <cp:lastPrinted>2018-05-30T14:15:43Z</cp:lastPrinted>
  <dcterms:created xsi:type="dcterms:W3CDTF">2006-02-08T00:02:41Z</dcterms:created>
  <dcterms:modified xsi:type="dcterms:W3CDTF">2018-08-10T06:24:46Z</dcterms:modified>
</cp:coreProperties>
</file>