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7980" tabRatio="932" activeTab="1"/>
  </bookViews>
  <sheets>
    <sheet name="1 ei felhaszn" sheetId="17" r:id="rId1"/>
    <sheet name="2 mérleg" sheetId="2" r:id="rId2"/>
    <sheet name="3 bevételek" sheetId="50" r:id="rId3"/>
    <sheet name="4 int-i bevételek " sheetId="32" r:id="rId4"/>
    <sheet name="5 kiadások" sheetId="30" r:id="rId5"/>
    <sheet name="6 beruházások" sheetId="52" r:id="rId6"/>
  </sheets>
  <externalReferences>
    <externalReference r:id="rId7"/>
  </externalReferences>
  <definedNames>
    <definedName name="_xlnm.Print_Titles" localSheetId="2">'3 bevételek'!$4:$5</definedName>
    <definedName name="_xlnm.Print_Titles" localSheetId="3">'4 int-i bevételek '!$5:$8</definedName>
    <definedName name="_xlnm.Print_Titles" localSheetId="4">'5 kiadások'!$5:$7</definedName>
    <definedName name="_xlnm.Print_Titles" localSheetId="5">'6 beruházások'!$4:$5</definedName>
    <definedName name="_xlnm.Print_Area" localSheetId="0">'1 ei felhaszn'!$A$1:$O$31</definedName>
    <definedName name="_xlnm.Print_Area" localSheetId="1">'2 mérleg'!$A$1:$E$60</definedName>
    <definedName name="_xlnm.Print_Area" localSheetId="2">'3 bevételek'!$A$1:$H$263</definedName>
    <definedName name="_xlnm.Print_Area" localSheetId="3">'4 int-i bevételek '!$A$1:$N$18</definedName>
    <definedName name="_xlnm.Print_Area" localSheetId="4">'5 kiadások'!$A$1:$R$95</definedName>
    <definedName name="_xlnm.Print_Area" localSheetId="5">'6 beruházások'!$A$1:$D$62</definedName>
  </definedNames>
  <calcPr calcId="124519"/>
</workbook>
</file>

<file path=xl/calcChain.xml><?xml version="1.0" encoding="utf-8"?>
<calcChain xmlns="http://schemas.openxmlformats.org/spreadsheetml/2006/main">
  <c r="N24" i="17"/>
  <c r="N25"/>
  <c r="G49" i="30"/>
  <c r="D29" i="52"/>
  <c r="D23"/>
  <c r="R87" i="30"/>
  <c r="C30" i="17"/>
  <c r="N30"/>
  <c r="N26"/>
  <c r="M25"/>
  <c r="D24"/>
  <c r="E24"/>
  <c r="F24"/>
  <c r="G24"/>
  <c r="H24"/>
  <c r="I24"/>
  <c r="J24"/>
  <c r="K24"/>
  <c r="L24"/>
  <c r="M24"/>
  <c r="C24"/>
  <c r="N23"/>
  <c r="N22"/>
  <c r="C15"/>
  <c r="M11"/>
  <c r="I11"/>
  <c r="J11"/>
  <c r="K11"/>
  <c r="L11"/>
  <c r="H11"/>
  <c r="N8"/>
  <c r="F211" i="50"/>
  <c r="F217"/>
  <c r="F224"/>
  <c r="K42" i="30"/>
  <c r="K43"/>
  <c r="J44"/>
  <c r="H186" i="50"/>
  <c r="F236"/>
  <c r="J90" i="30"/>
  <c r="G228" i="50"/>
  <c r="G55" i="30"/>
  <c r="L58"/>
  <c r="G58"/>
  <c r="M53"/>
  <c r="F185" i="50"/>
  <c r="H184"/>
  <c r="E79" i="30"/>
  <c r="E40" s="1"/>
  <c r="M79"/>
  <c r="F79" l="1"/>
  <c r="L79"/>
  <c r="Q79" s="1"/>
  <c r="F40" l="1"/>
  <c r="G25"/>
  <c r="E26"/>
  <c r="G22"/>
  <c r="G19" s="1"/>
  <c r="E22"/>
  <c r="E23"/>
  <c r="F18" l="1"/>
  <c r="E21"/>
  <c r="E20"/>
  <c r="E19"/>
  <c r="E24"/>
  <c r="E18" l="1"/>
  <c r="H70" l="1"/>
  <c r="H73"/>
  <c r="G69"/>
  <c r="F77"/>
  <c r="E77"/>
  <c r="D13" i="52"/>
  <c r="D12"/>
  <c r="F52" i="30"/>
  <c r="E52"/>
  <c r="D14" i="52" l="1"/>
  <c r="D11" s="1"/>
  <c r="M52" i="30" s="1"/>
  <c r="L10" i="32"/>
  <c r="D10"/>
  <c r="F40" i="50"/>
  <c r="F76"/>
  <c r="F8" i="17" l="1"/>
  <c r="M8"/>
  <c r="I8"/>
  <c r="G66" i="30" l="1"/>
  <c r="F172" i="50"/>
  <c r="D23" i="17"/>
  <c r="E23"/>
  <c r="F23"/>
  <c r="G23"/>
  <c r="H23"/>
  <c r="I23"/>
  <c r="J23"/>
  <c r="K23"/>
  <c r="L23"/>
  <c r="M23"/>
  <c r="C23"/>
  <c r="D22"/>
  <c r="E22"/>
  <c r="F22"/>
  <c r="G22"/>
  <c r="H22"/>
  <c r="I22"/>
  <c r="J22"/>
  <c r="K22"/>
  <c r="L22"/>
  <c r="M22"/>
  <c r="C22"/>
  <c r="J8"/>
  <c r="K8"/>
  <c r="L8"/>
  <c r="H8"/>
  <c r="N11"/>
  <c r="F183" i="50" l="1"/>
  <c r="F208"/>
  <c r="F28" i="30"/>
  <c r="E28"/>
  <c r="F166" i="50"/>
  <c r="F165"/>
  <c r="F158"/>
  <c r="F159"/>
  <c r="G232"/>
  <c r="D36" i="2" s="1"/>
  <c r="L15" i="32" l="1"/>
  <c r="L13"/>
  <c r="L9"/>
  <c r="F13" i="50"/>
  <c r="F12" s="1"/>
  <c r="G10"/>
  <c r="F10"/>
  <c r="G9"/>
  <c r="F9"/>
  <c r="G18"/>
  <c r="F18"/>
  <c r="G15"/>
  <c r="F15"/>
  <c r="G12"/>
  <c r="G9" i="30"/>
  <c r="L15"/>
  <c r="G8" i="50" l="1"/>
  <c r="H9"/>
  <c r="H10"/>
  <c r="F10" i="32"/>
  <c r="F9" s="1"/>
  <c r="L17"/>
  <c r="F8" i="50"/>
  <c r="H8" s="1"/>
  <c r="H18"/>
  <c r="H12"/>
  <c r="H15"/>
  <c r="H11"/>
  <c r="D27" i="52"/>
  <c r="D26" s="1"/>
  <c r="D25" s="1"/>
  <c r="M12" i="30" s="1"/>
  <c r="G231" i="50" l="1"/>
  <c r="G50" i="30"/>
  <c r="G60"/>
  <c r="G40"/>
  <c r="F201" i="50" l="1"/>
  <c r="M26" i="17" l="1"/>
  <c r="H232" i="50" l="1"/>
  <c r="R33" i="30" l="1"/>
  <c r="R95" s="1"/>
  <c r="L63" l="1"/>
  <c r="L64"/>
  <c r="L65"/>
  <c r="G28"/>
  <c r="I81"/>
  <c r="G26" l="1"/>
  <c r="G23"/>
  <c r="M19"/>
  <c r="M20"/>
  <c r="M21"/>
  <c r="M24"/>
  <c r="G20" l="1"/>
  <c r="R19"/>
  <c r="R20"/>
  <c r="E78"/>
  <c r="R18" l="1"/>
  <c r="G53"/>
  <c r="P67"/>
  <c r="O67"/>
  <c r="N67"/>
  <c r="M67"/>
  <c r="H66"/>
  <c r="J66"/>
  <c r="K66"/>
  <c r="E66"/>
  <c r="G67"/>
  <c r="H67"/>
  <c r="J67"/>
  <c r="K67"/>
  <c r="E67"/>
  <c r="D30" i="17"/>
  <c r="E30"/>
  <c r="F30"/>
  <c r="G30"/>
  <c r="H30"/>
  <c r="I30"/>
  <c r="J30"/>
  <c r="K30"/>
  <c r="L30"/>
  <c r="M30"/>
  <c r="N28"/>
  <c r="D26"/>
  <c r="E26"/>
  <c r="F26"/>
  <c r="G26"/>
  <c r="H26"/>
  <c r="I26"/>
  <c r="J26"/>
  <c r="K26"/>
  <c r="L26"/>
  <c r="C26"/>
  <c r="L25"/>
  <c r="K25"/>
  <c r="D25"/>
  <c r="E25"/>
  <c r="F25"/>
  <c r="G25"/>
  <c r="H25"/>
  <c r="I25"/>
  <c r="C25"/>
  <c r="J25"/>
  <c r="D15"/>
  <c r="E15"/>
  <c r="F15"/>
  <c r="G15"/>
  <c r="H15"/>
  <c r="I15"/>
  <c r="J15"/>
  <c r="K15"/>
  <c r="L15"/>
  <c r="M15"/>
  <c r="N15"/>
  <c r="D11"/>
  <c r="E11"/>
  <c r="F11"/>
  <c r="G11"/>
  <c r="C11"/>
  <c r="J47" i="30" l="1"/>
  <c r="H191" i="50"/>
  <c r="G189"/>
  <c r="F23" i="30"/>
  <c r="F22"/>
  <c r="F26"/>
  <c r="F25"/>
  <c r="G18" l="1"/>
  <c r="L22" l="1"/>
  <c r="L23"/>
  <c r="L25"/>
  <c r="L26"/>
  <c r="F21"/>
  <c r="G21"/>
  <c r="H21"/>
  <c r="I21"/>
  <c r="J21"/>
  <c r="K21"/>
  <c r="F24"/>
  <c r="G24"/>
  <c r="H24"/>
  <c r="I24"/>
  <c r="J24"/>
  <c r="K24"/>
  <c r="L24" l="1"/>
  <c r="L21"/>
  <c r="R9" l="1"/>
  <c r="E12"/>
  <c r="E14"/>
  <c r="F14" s="1"/>
  <c r="E9" l="1"/>
  <c r="R8"/>
  <c r="R31"/>
  <c r="F12"/>
  <c r="F9" s="1"/>
  <c r="G52"/>
  <c r="M64"/>
  <c r="Q64" s="1"/>
  <c r="M63"/>
  <c r="Q63" s="1"/>
  <c r="E55"/>
  <c r="F55" s="1"/>
  <c r="F57"/>
  <c r="F56" s="1"/>
  <c r="E57"/>
  <c r="D37" i="52"/>
  <c r="G61" i="30"/>
  <c r="E61"/>
  <c r="D48" i="52"/>
  <c r="I75" i="30"/>
  <c r="G57" l="1"/>
  <c r="L61"/>
  <c r="I67"/>
  <c r="I66"/>
  <c r="M61"/>
  <c r="Q61" l="1"/>
  <c r="J45"/>
  <c r="D21" i="52"/>
  <c r="M78" i="30"/>
  <c r="F78"/>
  <c r="J43" l="1"/>
  <c r="J37" s="1"/>
  <c r="G51"/>
  <c r="F74" l="1"/>
  <c r="F67" l="1"/>
  <c r="F66"/>
  <c r="J72"/>
  <c r="F207" i="50"/>
  <c r="H207" s="1"/>
  <c r="G77" i="30" s="1"/>
  <c r="R76"/>
  <c r="F76"/>
  <c r="H76"/>
  <c r="I76"/>
  <c r="J76"/>
  <c r="K76"/>
  <c r="E76"/>
  <c r="D19" i="52"/>
  <c r="H192" i="50"/>
  <c r="F9" i="17" s="1"/>
  <c r="F189" i="50"/>
  <c r="H189" s="1"/>
  <c r="H190"/>
  <c r="E9" i="17" s="1"/>
  <c r="G59" i="30"/>
  <c r="D34" i="52"/>
  <c r="D33" s="1"/>
  <c r="D42"/>
  <c r="N27" i="17" s="1"/>
  <c r="D10" i="52"/>
  <c r="D9" s="1"/>
  <c r="D8" s="1"/>
  <c r="M58" i="30"/>
  <c r="Q58" s="1"/>
  <c r="G76" l="1"/>
  <c r="F181" i="50"/>
  <c r="F179" s="1"/>
  <c r="H179" s="1"/>
  <c r="M59" i="30"/>
  <c r="F206" i="50"/>
  <c r="F80"/>
  <c r="D14" i="32" s="1"/>
  <c r="D18" s="1"/>
  <c r="F79" i="50"/>
  <c r="F66"/>
  <c r="H67"/>
  <c r="L19" i="30"/>
  <c r="H18"/>
  <c r="I18"/>
  <c r="J18"/>
  <c r="K18"/>
  <c r="L20"/>
  <c r="F78" i="50" l="1"/>
  <c r="H66"/>
  <c r="F105" l="1"/>
  <c r="F163" l="1"/>
  <c r="H154"/>
  <c r="M77" i="30" l="1"/>
  <c r="G46"/>
  <c r="F187" i="50"/>
  <c r="H17" i="30"/>
  <c r="G187" i="50" l="1"/>
  <c r="G239" s="1"/>
  <c r="D47" i="52" l="1"/>
  <c r="D43" s="1"/>
  <c r="M60" i="30"/>
  <c r="H213" i="50" l="1"/>
  <c r="D23" i="2"/>
  <c r="E60" i="30"/>
  <c r="E56" s="1"/>
  <c r="G62" l="1"/>
  <c r="G56" s="1"/>
  <c r="D38" i="52" l="1"/>
  <c r="L90" i="30"/>
  <c r="Q90" s="1"/>
  <c r="I89"/>
  <c r="D32" i="52" l="1"/>
  <c r="D31" s="1"/>
  <c r="D6" s="1"/>
  <c r="D61" s="1"/>
  <c r="K27" i="17"/>
  <c r="M62" i="30"/>
  <c r="F145" i="50"/>
  <c r="H156"/>
  <c r="H205"/>
  <c r="C38" i="2"/>
  <c r="C37"/>
  <c r="F259" i="50"/>
  <c r="C58" i="2" s="1"/>
  <c r="C35" l="1"/>
  <c r="G241" i="50"/>
  <c r="G200"/>
  <c r="G194" s="1"/>
  <c r="M10" i="30" l="1"/>
  <c r="M33" s="1"/>
  <c r="M11" l="1"/>
  <c r="F231" i="50"/>
  <c r="M9" i="30" l="1"/>
  <c r="M31" s="1"/>
  <c r="H231" i="50"/>
  <c r="M8" i="30" l="1"/>
  <c r="Q85"/>
  <c r="L89"/>
  <c r="Q89" s="1"/>
  <c r="L82" l="1"/>
  <c r="H229" i="50" l="1"/>
  <c r="H43" l="1"/>
  <c r="P8" i="30" l="1"/>
  <c r="O11"/>
  <c r="O9" s="1"/>
  <c r="O8" s="1"/>
  <c r="E37" i="2"/>
  <c r="L80" i="30"/>
  <c r="Q80" s="1"/>
  <c r="C31" i="17" l="1"/>
  <c r="H240" i="50"/>
  <c r="G10" i="32"/>
  <c r="G17" s="1"/>
  <c r="E18"/>
  <c r="F18"/>
  <c r="G18"/>
  <c r="H18"/>
  <c r="I18"/>
  <c r="E17"/>
  <c r="F17"/>
  <c r="H17"/>
  <c r="I17"/>
  <c r="G169" i="50"/>
  <c r="H171"/>
  <c r="H115"/>
  <c r="H116"/>
  <c r="H117"/>
  <c r="H118"/>
  <c r="H119"/>
  <c r="H120"/>
  <c r="H121"/>
  <c r="H122"/>
  <c r="F74"/>
  <c r="G38"/>
  <c r="F37"/>
  <c r="G26"/>
  <c r="G25"/>
  <c r="G24" s="1"/>
  <c r="F25"/>
  <c r="N11" i="30"/>
  <c r="N10"/>
  <c r="N9"/>
  <c r="F30" i="50"/>
  <c r="D9" i="32" l="1"/>
  <c r="R30" i="30"/>
  <c r="E33"/>
  <c r="F169" i="50"/>
  <c r="H169" s="1"/>
  <c r="N8" i="30"/>
  <c r="M65" l="1"/>
  <c r="M56" s="1"/>
  <c r="I8"/>
  <c r="J8"/>
  <c r="K8"/>
  <c r="E8"/>
  <c r="F8"/>
  <c r="N32" l="1"/>
  <c r="Q32" s="1"/>
  <c r="N31"/>
  <c r="G114" i="50"/>
  <c r="G9" i="32" s="1"/>
  <c r="F114" i="50"/>
  <c r="F43" i="30"/>
  <c r="G43"/>
  <c r="H43"/>
  <c r="H37" s="1"/>
  <c r="J36"/>
  <c r="K37"/>
  <c r="E43"/>
  <c r="L86"/>
  <c r="L38"/>
  <c r="B58"/>
  <c r="B59" s="1"/>
  <c r="B60" s="1"/>
  <c r="B61" s="1"/>
  <c r="B65" s="1"/>
  <c r="L47"/>
  <c r="Q47" s="1"/>
  <c r="L53"/>
  <c r="L52"/>
  <c r="Q52" s="1"/>
  <c r="K36" l="1"/>
  <c r="H36"/>
  <c r="N30"/>
  <c r="J13" i="32"/>
  <c r="H114" i="50"/>
  <c r="J14" i="32"/>
  <c r="O18" i="30"/>
  <c r="P18"/>
  <c r="N18"/>
  <c r="M18"/>
  <c r="J12" i="32" l="1"/>
  <c r="M30" i="30"/>
  <c r="L48"/>
  <c r="Q48" s="1"/>
  <c r="E15" i="2"/>
  <c r="E18"/>
  <c r="E19"/>
  <c r="N87" i="30"/>
  <c r="N95" s="1"/>
  <c r="O87"/>
  <c r="P87"/>
  <c r="N36"/>
  <c r="N84" s="1"/>
  <c r="O36"/>
  <c r="O85" s="1"/>
  <c r="P36"/>
  <c r="P84" s="1"/>
  <c r="P91" s="1"/>
  <c r="M36"/>
  <c r="G125" i="50"/>
  <c r="G124"/>
  <c r="F125"/>
  <c r="F124"/>
  <c r="G113"/>
  <c r="G110" s="1"/>
  <c r="G112"/>
  <c r="F113"/>
  <c r="F112"/>
  <c r="G135"/>
  <c r="F135"/>
  <c r="H135" s="1"/>
  <c r="G132"/>
  <c r="F132"/>
  <c r="H132" s="1"/>
  <c r="G129"/>
  <c r="F129"/>
  <c r="H129" s="1"/>
  <c r="G128"/>
  <c r="F128"/>
  <c r="H128" s="1"/>
  <c r="G127"/>
  <c r="F127"/>
  <c r="H127" s="1"/>
  <c r="G98"/>
  <c r="G97"/>
  <c r="F98"/>
  <c r="H98" s="1"/>
  <c r="F97"/>
  <c r="H97" s="1"/>
  <c r="F73"/>
  <c r="F72" s="1"/>
  <c r="F62"/>
  <c r="H62" s="1"/>
  <c r="H64"/>
  <c r="H65"/>
  <c r="H70"/>
  <c r="H71"/>
  <c r="G69"/>
  <c r="H69"/>
  <c r="G57"/>
  <c r="G54"/>
  <c r="H52"/>
  <c r="H53"/>
  <c r="H55"/>
  <c r="H56"/>
  <c r="H58"/>
  <c r="H59"/>
  <c r="G51"/>
  <c r="G50"/>
  <c r="G49"/>
  <c r="H57"/>
  <c r="H54"/>
  <c r="H51"/>
  <c r="F50"/>
  <c r="F49"/>
  <c r="F63"/>
  <c r="H63" s="1"/>
  <c r="G63"/>
  <c r="G62"/>
  <c r="G61"/>
  <c r="F93"/>
  <c r="F90"/>
  <c r="H90" s="1"/>
  <c r="F87"/>
  <c r="H87" s="1"/>
  <c r="G86"/>
  <c r="G84" s="1"/>
  <c r="F86"/>
  <c r="H86" s="1"/>
  <c r="F85"/>
  <c r="H85" s="1"/>
  <c r="H81"/>
  <c r="H76"/>
  <c r="H77"/>
  <c r="H80"/>
  <c r="H82"/>
  <c r="H83"/>
  <c r="H88"/>
  <c r="H89"/>
  <c r="H91"/>
  <c r="H92"/>
  <c r="H94"/>
  <c r="H95"/>
  <c r="H99"/>
  <c r="H100"/>
  <c r="H101"/>
  <c r="H102"/>
  <c r="H103"/>
  <c r="H104"/>
  <c r="H105"/>
  <c r="H106"/>
  <c r="H107"/>
  <c r="H130"/>
  <c r="H131"/>
  <c r="H133"/>
  <c r="H134"/>
  <c r="H136"/>
  <c r="H137"/>
  <c r="G75"/>
  <c r="H75"/>
  <c r="H74"/>
  <c r="G72"/>
  <c r="H40"/>
  <c r="H41"/>
  <c r="G37"/>
  <c r="G36" s="1"/>
  <c r="G33"/>
  <c r="G30"/>
  <c r="G27"/>
  <c r="F27"/>
  <c r="F33"/>
  <c r="H33" s="1"/>
  <c r="F26"/>
  <c r="Q53" i="30"/>
  <c r="L77"/>
  <c r="Q77" s="1"/>
  <c r="L59"/>
  <c r="L71"/>
  <c r="Q71" s="1"/>
  <c r="L72"/>
  <c r="Q72" s="1"/>
  <c r="L73"/>
  <c r="Q73" s="1"/>
  <c r="N68"/>
  <c r="O68"/>
  <c r="P68"/>
  <c r="P66" s="1"/>
  <c r="M68"/>
  <c r="H68"/>
  <c r="I68"/>
  <c r="J68"/>
  <c r="K68"/>
  <c r="J85"/>
  <c r="K85"/>
  <c r="F68"/>
  <c r="F87" s="1"/>
  <c r="G68"/>
  <c r="E68"/>
  <c r="E87" s="1"/>
  <c r="G10"/>
  <c r="E37"/>
  <c r="E85" s="1"/>
  <c r="L45"/>
  <c r="Q45" s="1"/>
  <c r="L46"/>
  <c r="Q46" s="1"/>
  <c r="L51"/>
  <c r="Q51" s="1"/>
  <c r="L49"/>
  <c r="Q49" s="1"/>
  <c r="L50"/>
  <c r="Q50" s="1"/>
  <c r="L55"/>
  <c r="Q55" s="1"/>
  <c r="L42"/>
  <c r="Q42" s="1"/>
  <c r="L54"/>
  <c r="Q54" s="1"/>
  <c r="G87" l="1"/>
  <c r="E95"/>
  <c r="M66"/>
  <c r="H93" i="50"/>
  <c r="D15" i="32"/>
  <c r="G8" i="30"/>
  <c r="H125" i="50"/>
  <c r="H112"/>
  <c r="H49"/>
  <c r="F38"/>
  <c r="F36" s="1"/>
  <c r="H44"/>
  <c r="F110"/>
  <c r="H113"/>
  <c r="H42"/>
  <c r="H78"/>
  <c r="D13" i="32"/>
  <c r="G126" i="50"/>
  <c r="G96"/>
  <c r="F123"/>
  <c r="C34" i="2" s="1"/>
  <c r="C33" s="1"/>
  <c r="C32" s="1"/>
  <c r="L44" i="30"/>
  <c r="Q44" s="1"/>
  <c r="I43"/>
  <c r="H39" i="50"/>
  <c r="G123"/>
  <c r="D34" i="2" s="1"/>
  <c r="D33" s="1"/>
  <c r="E36" i="30"/>
  <c r="N85"/>
  <c r="O84"/>
  <c r="O91" s="1"/>
  <c r="O66"/>
  <c r="G11"/>
  <c r="N66"/>
  <c r="L78"/>
  <c r="L68"/>
  <c r="Q68" s="1"/>
  <c r="P85"/>
  <c r="E14" i="2"/>
  <c r="G23" i="50"/>
  <c r="F61"/>
  <c r="H61" s="1"/>
  <c r="H124"/>
  <c r="G22"/>
  <c r="G111"/>
  <c r="G108" s="1"/>
  <c r="D17" i="2" s="1"/>
  <c r="G109" i="50"/>
  <c r="F109"/>
  <c r="F111"/>
  <c r="F126"/>
  <c r="H126" s="1"/>
  <c r="F96"/>
  <c r="H96" s="1"/>
  <c r="H73"/>
  <c r="H79"/>
  <c r="H68"/>
  <c r="F48"/>
  <c r="H50"/>
  <c r="G48"/>
  <c r="G60"/>
  <c r="H37"/>
  <c r="F84"/>
  <c r="H84" s="1"/>
  <c r="H25"/>
  <c r="H30"/>
  <c r="H26"/>
  <c r="H27"/>
  <c r="F24"/>
  <c r="D17" i="32" l="1"/>
  <c r="D12"/>
  <c r="H38" i="50"/>
  <c r="F22"/>
  <c r="F139" s="1"/>
  <c r="F23"/>
  <c r="H111"/>
  <c r="G140"/>
  <c r="G245" s="1"/>
  <c r="E33" i="2"/>
  <c r="G21" i="50"/>
  <c r="G138" s="1"/>
  <c r="F60"/>
  <c r="E34" i="2"/>
  <c r="I37" i="30"/>
  <c r="I85" s="1"/>
  <c r="L43"/>
  <c r="Q43" s="1"/>
  <c r="G139" i="50"/>
  <c r="H24"/>
  <c r="H123"/>
  <c r="F108"/>
  <c r="D16" i="32" l="1"/>
  <c r="H139" i="50"/>
  <c r="F140"/>
  <c r="H140" s="1"/>
  <c r="H23"/>
  <c r="H22"/>
  <c r="D13" i="2"/>
  <c r="D16"/>
  <c r="F21" i="50"/>
  <c r="C16" i="2" s="1"/>
  <c r="H108" i="50"/>
  <c r="C17" i="2"/>
  <c r="E17" s="1"/>
  <c r="I36" i="30"/>
  <c r="H21" i="50" l="1"/>
  <c r="D20" i="2"/>
  <c r="E13"/>
  <c r="E16"/>
  <c r="C20"/>
  <c r="Q59" i="30"/>
  <c r="H56"/>
  <c r="H87" s="1"/>
  <c r="I56"/>
  <c r="I87" s="1"/>
  <c r="J56"/>
  <c r="J87" s="1"/>
  <c r="K56"/>
  <c r="K87" s="1"/>
  <c r="N56"/>
  <c r="O56"/>
  <c r="P56"/>
  <c r="L62"/>
  <c r="Q62" s="1"/>
  <c r="L60"/>
  <c r="Q60" s="1"/>
  <c r="L57"/>
  <c r="Q65" l="1"/>
  <c r="E20" i="2"/>
  <c r="L87" i="30" l="1"/>
  <c r="E84"/>
  <c r="L56"/>
  <c r="G33"/>
  <c r="G95" s="1"/>
  <c r="H33"/>
  <c r="H95" s="1"/>
  <c r="I33"/>
  <c r="I95" s="1"/>
  <c r="J33"/>
  <c r="J95" s="1"/>
  <c r="K33"/>
  <c r="K95" s="1"/>
  <c r="I31"/>
  <c r="I93" s="1"/>
  <c r="I92" s="1"/>
  <c r="J31"/>
  <c r="J93" s="1"/>
  <c r="K31"/>
  <c r="J30" l="1"/>
  <c r="L74"/>
  <c r="L70"/>
  <c r="H85"/>
  <c r="I30"/>
  <c r="K30"/>
  <c r="H16" l="1"/>
  <c r="L16" s="1"/>
  <c r="Q16" s="1"/>
  <c r="F11"/>
  <c r="L10"/>
  <c r="Q10" s="1"/>
  <c r="L12"/>
  <c r="Q12" s="1"/>
  <c r="L13"/>
  <c r="Q13" s="1"/>
  <c r="L14"/>
  <c r="Q14" s="1"/>
  <c r="L17"/>
  <c r="Q17" s="1"/>
  <c r="F37"/>
  <c r="F85" s="1"/>
  <c r="J84"/>
  <c r="J91" s="1"/>
  <c r="L76" l="1"/>
  <c r="F84"/>
  <c r="K93"/>
  <c r="H84"/>
  <c r="H91" s="1"/>
  <c r="F36"/>
  <c r="H9"/>
  <c r="H8" s="1"/>
  <c r="L8" s="1"/>
  <c r="F226" i="50"/>
  <c r="F203"/>
  <c r="H72"/>
  <c r="H60"/>
  <c r="H36" s="1"/>
  <c r="H48"/>
  <c r="F138"/>
  <c r="L29" i="30"/>
  <c r="Q29" s="1"/>
  <c r="E27"/>
  <c r="N27"/>
  <c r="O27"/>
  <c r="O31" s="1"/>
  <c r="P27"/>
  <c r="P31" s="1"/>
  <c r="M27"/>
  <c r="H27"/>
  <c r="I27"/>
  <c r="J27"/>
  <c r="K27"/>
  <c r="F91" l="1"/>
  <c r="H138" i="50"/>
  <c r="H203"/>
  <c r="I84" i="30"/>
  <c r="K84"/>
  <c r="L9"/>
  <c r="Q9" s="1"/>
  <c r="H31"/>
  <c r="H93" s="1"/>
  <c r="F27"/>
  <c r="Q8" l="1"/>
  <c r="K10" i="32"/>
  <c r="J92" i="30"/>
  <c r="K91"/>
  <c r="K92"/>
  <c r="I91"/>
  <c r="E91"/>
  <c r="H30"/>
  <c r="H92" s="1"/>
  <c r="F251" i="50" s="1"/>
  <c r="K9" i="32" l="1"/>
  <c r="N10"/>
  <c r="F252" i="50"/>
  <c r="E11" i="30"/>
  <c r="L11" s="1"/>
  <c r="F160" i="50" l="1"/>
  <c r="Q11" i="30"/>
  <c r="N9" i="32" l="1"/>
  <c r="M76" i="30" l="1"/>
  <c r="M85" l="1"/>
  <c r="M87"/>
  <c r="M95" s="1"/>
  <c r="Q57"/>
  <c r="Q56"/>
  <c r="G255" i="50"/>
  <c r="D52" i="2" s="1"/>
  <c r="E52" s="1"/>
  <c r="H173" i="50"/>
  <c r="Q87" i="30" l="1"/>
  <c r="M84"/>
  <c r="M93"/>
  <c r="G37"/>
  <c r="G85" s="1"/>
  <c r="M91" l="1"/>
  <c r="M92" s="1"/>
  <c r="F65" i="52"/>
  <c r="G36" i="30"/>
  <c r="L37"/>
  <c r="L75"/>
  <c r="L16" i="17"/>
  <c r="K31"/>
  <c r="J31"/>
  <c r="H31"/>
  <c r="G31"/>
  <c r="D31"/>
  <c r="K16"/>
  <c r="E16"/>
  <c r="G16"/>
  <c r="H16"/>
  <c r="I16"/>
  <c r="J16"/>
  <c r="M16"/>
  <c r="I31"/>
  <c r="L67" i="30" l="1"/>
  <c r="Q67" s="1"/>
  <c r="G84"/>
  <c r="L31" i="17"/>
  <c r="F31"/>
  <c r="N31"/>
  <c r="N16"/>
  <c r="M31"/>
  <c r="E31"/>
  <c r="G91" i="30" l="1"/>
  <c r="L91" s="1"/>
  <c r="L84"/>
  <c r="L85"/>
  <c r="H166" i="50"/>
  <c r="H167"/>
  <c r="M94" i="30" l="1"/>
  <c r="H206" i="50" l="1"/>
  <c r="F200"/>
  <c r="F241"/>
  <c r="H200" l="1"/>
  <c r="H241"/>
  <c r="F245"/>
  <c r="H245" s="1"/>
  <c r="R36" i="30" l="1"/>
  <c r="F177" i="50" l="1"/>
  <c r="H160" l="1"/>
  <c r="H168"/>
  <c r="H177" l="1"/>
  <c r="E38" i="2"/>
  <c r="H236" i="50"/>
  <c r="H235"/>
  <c r="H155"/>
  <c r="F157"/>
  <c r="F144" s="1"/>
  <c r="G31" i="30" l="1"/>
  <c r="G93" s="1"/>
  <c r="H157" i="50"/>
  <c r="G27" i="30" l="1"/>
  <c r="L27" s="1"/>
  <c r="Q27" s="1"/>
  <c r="L28"/>
  <c r="Q28" s="1"/>
  <c r="G30"/>
  <c r="G92" s="1"/>
  <c r="H230" i="50"/>
  <c r="G227"/>
  <c r="N93" i="30"/>
  <c r="O93"/>
  <c r="P93"/>
  <c r="O30"/>
  <c r="P30"/>
  <c r="H227" i="50" l="1"/>
  <c r="G226"/>
  <c r="E58" i="2" l="1"/>
  <c r="O30" i="17" l="1"/>
  <c r="L41" i="30"/>
  <c r="Q41" s="1"/>
  <c r="L66" l="1"/>
  <c r="Q66" s="1"/>
  <c r="Q78"/>
  <c r="H225" i="50"/>
  <c r="H217"/>
  <c r="R66" i="30"/>
  <c r="H233" i="50"/>
  <c r="H234"/>
  <c r="K15" i="32"/>
  <c r="F198" i="50"/>
  <c r="F194" s="1"/>
  <c r="H202"/>
  <c r="H204"/>
  <c r="J17" i="32"/>
  <c r="M17"/>
  <c r="J16"/>
  <c r="J18"/>
  <c r="L18"/>
  <c r="L16" s="1"/>
  <c r="M18"/>
  <c r="O95" i="30"/>
  <c r="P95"/>
  <c r="D24" i="2"/>
  <c r="C27"/>
  <c r="E27" s="1"/>
  <c r="D28"/>
  <c r="E28" s="1"/>
  <c r="H165" i="50"/>
  <c r="H159"/>
  <c r="H147"/>
  <c r="H148"/>
  <c r="H149"/>
  <c r="H150"/>
  <c r="H151"/>
  <c r="H152"/>
  <c r="H153"/>
  <c r="H146"/>
  <c r="H216"/>
  <c r="H209"/>
  <c r="H208"/>
  <c r="D57" i="52"/>
  <c r="H214" i="50"/>
  <c r="H215"/>
  <c r="G12" i="32"/>
  <c r="G16" s="1"/>
  <c r="H180" i="50"/>
  <c r="H164"/>
  <c r="H174"/>
  <c r="H163"/>
  <c r="H162"/>
  <c r="H211"/>
  <c r="H221"/>
  <c r="H219"/>
  <c r="H228"/>
  <c r="H218"/>
  <c r="H199"/>
  <c r="H198" s="1"/>
  <c r="L81" i="30"/>
  <c r="H170" i="50"/>
  <c r="Q70" i="30"/>
  <c r="H220" i="50"/>
  <c r="H223"/>
  <c r="H224"/>
  <c r="H175"/>
  <c r="L83" i="30"/>
  <c r="Q83" s="1"/>
  <c r="H172" i="50"/>
  <c r="H222"/>
  <c r="L69" i="30"/>
  <c r="Q69" s="1"/>
  <c r="Q75"/>
  <c r="E12" i="32"/>
  <c r="H12"/>
  <c r="H16" s="1"/>
  <c r="I12"/>
  <c r="I16" s="1"/>
  <c r="L12"/>
  <c r="M12"/>
  <c r="M16" s="1"/>
  <c r="H182" i="50"/>
  <c r="H183"/>
  <c r="F12" i="32"/>
  <c r="F16" s="1"/>
  <c r="Q74" i="30"/>
  <c r="H210" i="50"/>
  <c r="Q76" i="30"/>
  <c r="H181" i="50" s="1"/>
  <c r="H185"/>
  <c r="H158"/>
  <c r="L40" i="30"/>
  <c r="Q40" s="1"/>
  <c r="H161" i="50"/>
  <c r="O14" i="17" l="1"/>
  <c r="O13"/>
  <c r="F239" i="50"/>
  <c r="F243" s="1"/>
  <c r="E16" i="32"/>
  <c r="G243" i="50"/>
  <c r="G238"/>
  <c r="G242" s="1"/>
  <c r="H194"/>
  <c r="R85" i="30"/>
  <c r="N15" i="32"/>
  <c r="Q81" i="30"/>
  <c r="N92"/>
  <c r="D54" i="52"/>
  <c r="D60" s="1"/>
  <c r="Q84" i="30"/>
  <c r="H187" i="50"/>
  <c r="Q86" i="30"/>
  <c r="P92"/>
  <c r="C25" i="2"/>
  <c r="E25" s="1"/>
  <c r="H244" i="50"/>
  <c r="H145"/>
  <c r="H226"/>
  <c r="D26" i="2"/>
  <c r="E26" s="1"/>
  <c r="H212" i="50"/>
  <c r="G262"/>
  <c r="H201"/>
  <c r="L36" i="30"/>
  <c r="Q36" s="1"/>
  <c r="L94"/>
  <c r="O12" i="17" l="1"/>
  <c r="R93" i="30"/>
  <c r="R92" s="1"/>
  <c r="H144" i="50"/>
  <c r="G256"/>
  <c r="H256" s="1"/>
  <c r="H243"/>
  <c r="F142"/>
  <c r="F238" s="1"/>
  <c r="R84" i="30"/>
  <c r="H239" i="50"/>
  <c r="O11" i="17"/>
  <c r="E23" i="2"/>
  <c r="D29"/>
  <c r="D30" s="1"/>
  <c r="H259" i="50"/>
  <c r="G257"/>
  <c r="D54" i="2" s="1"/>
  <c r="G261" i="50"/>
  <c r="O92" i="30"/>
  <c r="E36" i="2"/>
  <c r="D35"/>
  <c r="D32" s="1"/>
  <c r="E32" s="1"/>
  <c r="O15" i="17" s="1"/>
  <c r="F263" i="50"/>
  <c r="H263" s="1"/>
  <c r="Q94" i="30"/>
  <c r="H142" i="50" l="1"/>
  <c r="O9" i="17"/>
  <c r="D53" i="2"/>
  <c r="O28" i="17" s="1"/>
  <c r="F242" i="50"/>
  <c r="H242" s="1"/>
  <c r="H238"/>
  <c r="E35" i="2"/>
  <c r="D39"/>
  <c r="C24"/>
  <c r="E54"/>
  <c r="O29" i="17"/>
  <c r="C22" i="2"/>
  <c r="H257" i="50"/>
  <c r="Q91" i="30"/>
  <c r="F250" i="50"/>
  <c r="C47" i="2" s="1"/>
  <c r="H255" i="50"/>
  <c r="G258"/>
  <c r="G260" s="1"/>
  <c r="O27" i="17"/>
  <c r="E53" i="2" l="1"/>
  <c r="C29"/>
  <c r="E29" s="1"/>
  <c r="E24"/>
  <c r="E22"/>
  <c r="O8" i="17" s="1"/>
  <c r="C8" s="1"/>
  <c r="C16" s="1"/>
  <c r="H258" i="50"/>
  <c r="O7" i="17"/>
  <c r="C48" i="2"/>
  <c r="O25" i="17" s="1"/>
  <c r="H251" i="50"/>
  <c r="E47" i="2"/>
  <c r="C49"/>
  <c r="O26" i="17" s="1"/>
  <c r="H252" i="50"/>
  <c r="H250"/>
  <c r="D55" i="2"/>
  <c r="C30" l="1"/>
  <c r="O10" i="17"/>
  <c r="O24"/>
  <c r="E49" i="2"/>
  <c r="E48"/>
  <c r="D31"/>
  <c r="D56"/>
  <c r="E55"/>
  <c r="D60"/>
  <c r="E30" l="1"/>
  <c r="C39"/>
  <c r="E39" s="1"/>
  <c r="O16" i="17"/>
  <c r="E31" i="30"/>
  <c r="E93" l="1"/>
  <c r="Q20" l="1"/>
  <c r="K14" i="32"/>
  <c r="F31" i="30"/>
  <c r="F93" s="1"/>
  <c r="L93" s="1"/>
  <c r="F33"/>
  <c r="L33" l="1"/>
  <c r="Q33" s="1"/>
  <c r="F95"/>
  <c r="L31"/>
  <c r="Q31" s="1"/>
  <c r="F261" i="50"/>
  <c r="K18" i="32"/>
  <c r="N14"/>
  <c r="N18" s="1"/>
  <c r="L18" i="30"/>
  <c r="Q18" s="1"/>
  <c r="K13" i="32"/>
  <c r="K12" s="1"/>
  <c r="N12" s="1"/>
  <c r="E30" i="30"/>
  <c r="F30"/>
  <c r="F92" l="1"/>
  <c r="F249" i="50" s="1"/>
  <c r="L95" i="30"/>
  <c r="L92" s="1"/>
  <c r="Q92" s="1"/>
  <c r="Q19"/>
  <c r="Q30"/>
  <c r="L30"/>
  <c r="Q93"/>
  <c r="H261" i="50"/>
  <c r="E92" i="30"/>
  <c r="Q95" l="1"/>
  <c r="C46" i="2"/>
  <c r="E46" s="1"/>
  <c r="H249" i="50"/>
  <c r="K17" i="32"/>
  <c r="K16" s="1"/>
  <c r="F262" i="50"/>
  <c r="H262" s="1"/>
  <c r="N13" i="32"/>
  <c r="N17" s="1"/>
  <c r="F248" i="50"/>
  <c r="O23" i="17" l="1"/>
  <c r="N16" i="32"/>
  <c r="H248" i="50"/>
  <c r="H253" s="1"/>
  <c r="H260" s="1"/>
  <c r="F253"/>
  <c r="F260" s="1"/>
  <c r="C45" i="2"/>
  <c r="C50" l="1"/>
  <c r="C60" s="1"/>
  <c r="E60" s="1"/>
  <c r="E45"/>
  <c r="O22" i="17" l="1"/>
  <c r="C31" i="2"/>
  <c r="E50"/>
  <c r="C56"/>
  <c r="E56" s="1"/>
  <c r="E31" s="1"/>
  <c r="O31" i="17" l="1"/>
  <c r="F16"/>
  <c r="D16"/>
</calcChain>
</file>

<file path=xl/sharedStrings.xml><?xml version="1.0" encoding="utf-8"?>
<sst xmlns="http://schemas.openxmlformats.org/spreadsheetml/2006/main" count="785" uniqueCount="354">
  <si>
    <t xml:space="preserve">Közfoglalkoztatás </t>
  </si>
  <si>
    <t>BEVÉTELI ELŐIRÁNYZAT FELHASZNÁLÁS ALAKULÁSA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</si>
  <si>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</si>
  <si>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</si>
  <si>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</si>
  <si>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</si>
  <si>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</si>
  <si>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</si>
  <si>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</si>
  <si>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</si>
  <si>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</si>
  <si>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</si>
  <si>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</si>
  <si>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</si>
  <si>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</si>
  <si>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</si>
  <si>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</si>
  <si>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</si>
  <si>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</si>
  <si>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</si>
  <si>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</si>
  <si>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</si>
  <si>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</si>
  <si>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</si>
  <si>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KIADÁSI ELŐIRÁNYZAT FELHASZNÁLÁS ALAKULÁSA</t>
  </si>
  <si>
    <t>Személyi juttatások</t>
  </si>
  <si>
    <t>Dologi kiadások</t>
  </si>
  <si>
    <t>MEGNEVEZÉS</t>
  </si>
  <si>
    <t>Működési</t>
  </si>
  <si>
    <t>Felhalmozási</t>
  </si>
  <si>
    <t>Összesen</t>
  </si>
  <si>
    <t>célú</t>
  </si>
  <si>
    <t>BEVÉTELEK</t>
  </si>
  <si>
    <t>I.</t>
  </si>
  <si>
    <t>II.</t>
  </si>
  <si>
    <t>KIADÁSOK</t>
  </si>
  <si>
    <t>Beruházások</t>
  </si>
  <si>
    <t>Felújítások</t>
  </si>
  <si>
    <t>III.</t>
  </si>
  <si>
    <t>M E G N E V E Z É S</t>
  </si>
  <si>
    <t>Gépjárműadó</t>
  </si>
  <si>
    <t>Egyéb felhalmozási célú kiadások</t>
  </si>
  <si>
    <t>Cím</t>
  </si>
  <si>
    <t>Cím ,</t>
  </si>
  <si>
    <t>Személyi</t>
  </si>
  <si>
    <t>Dologi</t>
  </si>
  <si>
    <t>Beruházá-</t>
  </si>
  <si>
    <t>Létszám-</t>
  </si>
  <si>
    <t>Alcím</t>
  </si>
  <si>
    <t xml:space="preserve">             alcím megnevezése</t>
  </si>
  <si>
    <t>kiadások</t>
  </si>
  <si>
    <t>célú kiadások</t>
  </si>
  <si>
    <t>sok, felújí-</t>
  </si>
  <si>
    <t>keret</t>
  </si>
  <si>
    <t>Szám</t>
  </si>
  <si>
    <t>tások</t>
  </si>
  <si>
    <t>Város -és községgazdálkodási szolgáltatás</t>
  </si>
  <si>
    <t>Közvilágítás</t>
  </si>
  <si>
    <t>Ö S S Z E S E N</t>
  </si>
  <si>
    <t xml:space="preserve"> </t>
  </si>
  <si>
    <t xml:space="preserve">Ellátottak pénzbeli juttatása </t>
  </si>
  <si>
    <t xml:space="preserve">Felújítások </t>
  </si>
  <si>
    <t>Finanszírozási kiadások</t>
  </si>
  <si>
    <t>Igazgatási tevékenység</t>
  </si>
  <si>
    <t>Adóigazgatási tevékenység</t>
  </si>
  <si>
    <t>Közfoglalkoztatás</t>
  </si>
  <si>
    <t>Egyéb működési célú kiadások</t>
  </si>
  <si>
    <t>juttatások</t>
  </si>
  <si>
    <t>Ellátottak pénzbeli juttatásai</t>
  </si>
  <si>
    <t>Felhal-mozási</t>
  </si>
  <si>
    <t>Közhatalmi bevételek</t>
  </si>
  <si>
    <t>Önkormányzati intézmények bevételei</t>
  </si>
  <si>
    <t>k</t>
  </si>
  <si>
    <t>ö</t>
  </si>
  <si>
    <t>Munkaadókat terhelő járulékok és szociális hozzájárulási adó</t>
  </si>
  <si>
    <t>Működési költségvetés</t>
  </si>
  <si>
    <t xml:space="preserve">Működési költségvetés összesen </t>
  </si>
  <si>
    <t>Felhalmozási költségvetés</t>
  </si>
  <si>
    <t xml:space="preserve">Felhalmozási költségvetés összesen </t>
  </si>
  <si>
    <t>Működési költségvetés összesen:</t>
  </si>
  <si>
    <t>Munkaadókat terhelő</t>
  </si>
  <si>
    <t>járulékok és szociális</t>
  </si>
  <si>
    <t>hozzájárulási adó</t>
  </si>
  <si>
    <t>Ebből: kötelező feladatellátás</t>
  </si>
  <si>
    <t>önként vállalt feladatok</t>
  </si>
  <si>
    <t>Európai Uniós forrásból finanszírozott támogatással megvalósuló programok, projektek</t>
  </si>
  <si>
    <t>Európai Uniós forrásból finanszírozott támogatással megvalósuló programokhoz, projektekhez történő hozzájárulás</t>
  </si>
  <si>
    <t>AZ ÖNKORMÁNYZAT ÁLTAL IRÁNYÍTOTT KÖLTSÉGVETÉSI SZERVEK  BEVÉTELEI</t>
  </si>
  <si>
    <t>Saját bevételből, hazai támogatásból megvalósuló programok, projektek</t>
  </si>
  <si>
    <t xml:space="preserve">        önként vállalt feladatok</t>
  </si>
  <si>
    <t>állami (államigazgatási) feladat</t>
  </si>
  <si>
    <t>önként vállalt feladatokhoz</t>
  </si>
  <si>
    <t>ebből: kötelező feladatellátáshoz</t>
  </si>
  <si>
    <t>- általános működési támogatás</t>
  </si>
  <si>
    <t>á</t>
  </si>
  <si>
    <t>Állami (államigazgatási) feladatellátáshoz</t>
  </si>
  <si>
    <t>Önként vállalt feladatellátáshoz</t>
  </si>
  <si>
    <t>Ebből:kötelező feladatellátáshoz</t>
  </si>
  <si>
    <t>Finanszírozási bevételek</t>
  </si>
  <si>
    <t>BEVÉTELEK MINDÖSSZESEN (I.+II.+III.)</t>
  </si>
  <si>
    <t>Polgármesteri Hivatal pénzbeli és természetbeni ellátásai</t>
  </si>
  <si>
    <t>Civil szervezetek, személyek támogatása</t>
  </si>
  <si>
    <t>Saját bevételből, hazai támogatásból megvalósuló programok, projektek támogatása</t>
  </si>
  <si>
    <t>Rendszeres gyermekvédelmi kedvezmény</t>
  </si>
  <si>
    <t>rovat</t>
  </si>
  <si>
    <t>KÖLTSÉGVETÉSI BEVÉTELEK               (B1-7.)</t>
  </si>
  <si>
    <t>A</t>
  </si>
  <si>
    <t>B</t>
  </si>
  <si>
    <t>B111</t>
  </si>
  <si>
    <t>B112</t>
  </si>
  <si>
    <t>- egyes köznevelési feladatok támogatása</t>
  </si>
  <si>
    <t>B113</t>
  </si>
  <si>
    <t>B114</t>
  </si>
  <si>
    <t>B115</t>
  </si>
  <si>
    <t>B116</t>
  </si>
  <si>
    <t>- kiegészítő támogatások</t>
  </si>
  <si>
    <t>B12. Elvonások és befizetések bevételei</t>
  </si>
  <si>
    <t>B13. Működési célú garancia- és kezességvállalásból származó megtérülések</t>
  </si>
  <si>
    <t>B14. Működési célú visszatérítendő támogatások, kölcsönök visszatérülése</t>
  </si>
  <si>
    <t>B15. Működési célú visszatérítendő támogatások, kölcsönök igénybevétele</t>
  </si>
  <si>
    <t>B16. Egyéb működési célú támogatások:</t>
  </si>
  <si>
    <t>Rendszeres gyermekvédelmi támogatás</t>
  </si>
  <si>
    <t>B31. Jövedelemadók</t>
  </si>
  <si>
    <t>B32. Szociális hozzájárulási adó és járulákok</t>
  </si>
  <si>
    <t>Magánszemélyek kommunális adója</t>
  </si>
  <si>
    <t>Iparűzési adó</t>
  </si>
  <si>
    <t>B36. Egyéb közhatalmi bevételek:</t>
  </si>
  <si>
    <t>B36</t>
  </si>
  <si>
    <t>B4. Működési bevételek</t>
  </si>
  <si>
    <t>B404</t>
  </si>
  <si>
    <t>B403</t>
  </si>
  <si>
    <t>B408</t>
  </si>
  <si>
    <t>B402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</si>
  <si>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</si>
  <si>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</si>
  <si>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</si>
  <si>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</si>
  <si>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KÖLTSÉGVETÉSI KIADÁSOK                                       (K1-8.)</t>
  </si>
  <si>
    <t>Működési költségvetés:</t>
  </si>
  <si>
    <t>K11.-12.</t>
  </si>
  <si>
    <t>K2.</t>
  </si>
  <si>
    <t>K31.-35.</t>
  </si>
  <si>
    <t>K41.-48.</t>
  </si>
  <si>
    <t>K5.</t>
  </si>
  <si>
    <t>Felhalmozási költségvetés:</t>
  </si>
  <si>
    <t>K6.</t>
  </si>
  <si>
    <t>K7.</t>
  </si>
  <si>
    <t>K8.</t>
  </si>
  <si>
    <t>Felhalmozási költségvetés összesen:</t>
  </si>
  <si>
    <t>K9.Finanszírozási kiadások:</t>
  </si>
  <si>
    <t xml:space="preserve">KIADÁSOK ÖSSZESEN </t>
  </si>
  <si>
    <t>- ebből: kötelező feladatellátás</t>
  </si>
  <si>
    <t>államigazgatási (állami) feladatok</t>
  </si>
  <si>
    <t>KIADÁSOK MINDÖSSZESEN (I+II+III)</t>
  </si>
  <si>
    <t>Ellátottak</t>
  </si>
  <si>
    <t>pénzbeli</t>
  </si>
  <si>
    <t>juttatásai</t>
  </si>
  <si>
    <t>Felhalmozási célú átvett pénzeszközök</t>
  </si>
  <si>
    <t>Működési célú átvett pénzeszközök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</si>
  <si>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</si>
  <si>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</si>
  <si>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</si>
  <si>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</si>
  <si>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- szociális, gyermekjóléti és gyermekétkeztetési feladatok támogatása</t>
  </si>
  <si>
    <t>B3. Közhatalmi bevételek (B31.+…+B36.)</t>
  </si>
  <si>
    <t>B8131</t>
  </si>
  <si>
    <t>B33. Bérhez és foglalkoztatáshoz kapcsolódó adók</t>
  </si>
  <si>
    <t>Működési célú</t>
  </si>
  <si>
    <t>B1. Működési célú támogatások államháztartáson belülről (B11.+…+B16.):</t>
  </si>
  <si>
    <t>B401</t>
  </si>
  <si>
    <t>B409</t>
  </si>
  <si>
    <t>B410</t>
  </si>
  <si>
    <t>Egyéb pénzügyi műveletek bevételei</t>
  </si>
  <si>
    <t>Egyéb működési bevételek</t>
  </si>
  <si>
    <t>B11. Önkormányzat működési támogatásai:</t>
  </si>
  <si>
    <t>B2. Felhalmozási célú támogatások államháztartáson belülről (B21.+…+B25) - Önkormányzat:</t>
  </si>
  <si>
    <t>B34. Vagyoni típusú adók - Önkormányzat:</t>
  </si>
  <si>
    <t>B35. Termékek és szolgáltatások adói - Önkormányzat:</t>
  </si>
  <si>
    <t>Működési célú támogatások államháztar-táson belülről     B1.</t>
  </si>
  <si>
    <t>Felhalmozási célú átvett pénzeszközök     B7.</t>
  </si>
  <si>
    <t>Működési bevételek    B4.</t>
  </si>
  <si>
    <t>Működési célú átvett pénzeszközök            B6.</t>
  </si>
  <si>
    <t>Felhalmozási célú támogatások államháztar-táson belülről      B2.</t>
  </si>
  <si>
    <t xml:space="preserve">B16 </t>
  </si>
  <si>
    <t xml:space="preserve">B25 </t>
  </si>
  <si>
    <t>Kamatbevételek</t>
  </si>
  <si>
    <t>Szolgáltatások ellenértéke</t>
  </si>
  <si>
    <t>Áru- és készletértékesítés ellenértéke</t>
  </si>
  <si>
    <t>Közvetített szolgáltatások ellenértéke</t>
  </si>
  <si>
    <t>Egyéb közhatalmi bevételek</t>
  </si>
  <si>
    <t>Tulajdonosi bevételek</t>
  </si>
  <si>
    <t>B52-53</t>
  </si>
  <si>
    <t>- szociális feladatok egyéb támogatása</t>
  </si>
  <si>
    <t>államház-tartáson kívülre</t>
  </si>
  <si>
    <t>államház-tartáson belülre</t>
  </si>
  <si>
    <t>tarta-lékok</t>
  </si>
  <si>
    <t>Egyéb felhalmozás célú kiadások</t>
  </si>
  <si>
    <t>BERUHÁZÁSOK, FELÚJÍTÁSOK ÉS EGYÉB FELHALMOZÁSI</t>
  </si>
  <si>
    <t>JELLEGŰ KIADÁSOK, TÁMOGATÁSOK ÖSSZESEN</t>
  </si>
  <si>
    <t>Önkormányzati hozzájárulás</t>
  </si>
  <si>
    <t>B407</t>
  </si>
  <si>
    <t>B406</t>
  </si>
  <si>
    <t>Ellátási díjak</t>
  </si>
  <si>
    <t>Kiszámlázott általános forgalmi adó</t>
  </si>
  <si>
    <t>Általános forgalmi adó visszatérítés</t>
  </si>
  <si>
    <t>B405</t>
  </si>
  <si>
    <t>k: kötelező, ö: önként vállalt, á: államigaz-gatás feladat</t>
  </si>
  <si>
    <t>k: kötelező, ö: önként vállalt, á: államigaz-gatási feladat</t>
  </si>
  <si>
    <t>k: kötelező, ö: önként vállalt, á: állam-igaz-gatási feladat</t>
  </si>
  <si>
    <t>KÖLTSÉGVETÉSI BEVÉTELEK ÖSSZESEN (I.+II.)</t>
  </si>
  <si>
    <t>Az Önkormányzat által irányított költségvetési szervek költségvetési bevételei</t>
  </si>
  <si>
    <t xml:space="preserve">KÖLTSÉGVETÉSI KIADÁSOK ÖSSZESEN </t>
  </si>
  <si>
    <t>Költségvetési egyenleg - hiány (Költségvetési bevételek összesen -Költségvetési kiadások összesen)</t>
  </si>
  <si>
    <t>Értékesítések</t>
  </si>
  <si>
    <t>Cím megnevezése</t>
  </si>
  <si>
    <t>Költségvetési bevételek B1-B7.</t>
  </si>
  <si>
    <t>Finanszírozási bevételek B8.</t>
  </si>
  <si>
    <t>Család- és nővédelmi egészségügyi gondozás</t>
  </si>
  <si>
    <t>- önkormányzati hivatal működésének támogatása</t>
  </si>
  <si>
    <t>- zöldterület-gazdálkodással kapcsolatos feladatok ellátásának támogatása</t>
  </si>
  <si>
    <t>- közvilágítás fenntartásának támogatása</t>
  </si>
  <si>
    <t>- köztemető fenntartásával kapcsolatos feladatok támogatása</t>
  </si>
  <si>
    <t>- közutak fenntartásának támogatása</t>
  </si>
  <si>
    <t>- egyéb önkormányzati feladatok támogatása</t>
  </si>
  <si>
    <t>- lakott külterülettel kapcsolatos feladatok támogatása</t>
  </si>
  <si>
    <t>- kiegészítés</t>
  </si>
  <si>
    <t>- óvodapedagógusok és a nevelő munkát közvetlenül segítők bértámogatása</t>
  </si>
  <si>
    <t>- óvodaműködtetési támogatás</t>
  </si>
  <si>
    <t>- szociális étkeztetés</t>
  </si>
  <si>
    <t>- házi segítségnyújtás</t>
  </si>
  <si>
    <t>- falu/tanyagondnoki szolgáltatás</t>
  </si>
  <si>
    <t>- időskorúak nappali intézményi ellátása</t>
  </si>
  <si>
    <t>OEP támogatás - védőnő</t>
  </si>
  <si>
    <t>Közművelődési intézmények, közösségi színterek működtetése</t>
  </si>
  <si>
    <t>Família Szociális Alapszolgáltatási Központ</t>
  </si>
  <si>
    <t>Csengődi Napközi Otthonos Óvoda</t>
  </si>
  <si>
    <t>- családsegítés és gyermekjóléti szolgáltatások</t>
  </si>
  <si>
    <t>- gyermekétkeztetés, rászoruló gyermekek szünidei étkeztetése</t>
  </si>
  <si>
    <t>Szociális tűzifa</t>
  </si>
  <si>
    <t>Költségvetési hiány finanszírozása -  belső finanszírozás - előző év maradványának igénybevétele</t>
  </si>
  <si>
    <t xml:space="preserve">Előző évi maradvány           </t>
  </si>
  <si>
    <t xml:space="preserve"> Likviditási célú hitelek, kölcsönök törlesztése pénzügyi vállalkozásnak</t>
  </si>
  <si>
    <t>Államháztartáson belüli megelőlegezések  visszafizetése</t>
  </si>
  <si>
    <t xml:space="preserve"> 'Felhalmozási bevétel B5</t>
  </si>
  <si>
    <t>Bursa Hungarica</t>
  </si>
  <si>
    <t>B8112</t>
  </si>
  <si>
    <t>Likviditási célú hitel, kölcsönök felvétele pénzügyi vállalkozástól</t>
  </si>
  <si>
    <t>B814</t>
  </si>
  <si>
    <t>Államháztartáson belüli megelőlegezések</t>
  </si>
  <si>
    <t>- ágazati-, kiegészítő ágazati pótlék</t>
  </si>
  <si>
    <t>Gyermekvédelmi ellátások</t>
  </si>
  <si>
    <t>- működési célú költségvetési támogatás és kiegészítő támogatás</t>
  </si>
  <si>
    <t>BEVÉTELEK ÖSSZESEN A+B</t>
  </si>
  <si>
    <t>Nyári diákmunka támogatása</t>
  </si>
  <si>
    <t>B351</t>
  </si>
  <si>
    <t>B354</t>
  </si>
  <si>
    <t>B341</t>
  </si>
  <si>
    <t xml:space="preserve">        - Szociális célú tüzelőanyag vásárláshoz kapcsolódó kiegészítő támogatás </t>
  </si>
  <si>
    <t>Egyéb kiadói tevékenység</t>
  </si>
  <si>
    <t>Étkeztetés</t>
  </si>
  <si>
    <t>Csengődi Polgármesteri Hivatal</t>
  </si>
  <si>
    <t>Csengőd Község Önkormányzata</t>
  </si>
  <si>
    <t>Pályázatok</t>
  </si>
  <si>
    <t>Társulási hozzájárulás</t>
  </si>
  <si>
    <t>Előző év költségvetési maradványának igénybevétele</t>
  </si>
  <si>
    <t>INTÉZMÉNYEK ÖSSZESEN ( 1. - 3. sorok )</t>
  </si>
  <si>
    <t>Rendkívüli települési támogatás</t>
  </si>
  <si>
    <t>Önkormányzat igazgatási tevékenysége</t>
  </si>
  <si>
    <t>Köztemetés</t>
  </si>
  <si>
    <t>Közutak fenntarása</t>
  </si>
  <si>
    <t>Önkormányzati vagyongazdálkodás, hasznosítás</t>
  </si>
  <si>
    <t>Önkormányzati rendezvények</t>
  </si>
  <si>
    <t xml:space="preserve"> Köztemető fenntartása</t>
  </si>
  <si>
    <t>Szociális, egészségügyi, gyermekvédelmi ellátások, segélyek, támogatások</t>
  </si>
  <si>
    <t>Összesen 1-3. sorok</t>
  </si>
  <si>
    <t>B. Az Önkormányzat bevételei összesen B1.+…+B8.</t>
  </si>
  <si>
    <t>Közfoglalkoztatási mintaprogram</t>
  </si>
  <si>
    <t>KÖFOG-1.2.1-VEKOP-16.-2016-00363.</t>
  </si>
  <si>
    <t xml:space="preserve">TOP-3.2.1-15-BK1-2016-00037. </t>
  </si>
  <si>
    <t xml:space="preserve">TOP-3.2.2-15-BK1-2016-00003 </t>
  </si>
  <si>
    <t xml:space="preserve">TOP-4.2.1-15-BK1-2016-00010 </t>
  </si>
  <si>
    <t>Szabadidősport (rekreációs) tevékenység</t>
  </si>
  <si>
    <t>ÖNKORMÁNYZATI KIADÁSOK ÖSSZESEN ( 4- sorok )</t>
  </si>
  <si>
    <t>Az Önkormányzat bevételei</t>
  </si>
  <si>
    <t>Az Önkormányzat finanszírozási bevételei</t>
  </si>
  <si>
    <t>Finanszírozási bevétel</t>
  </si>
  <si>
    <t>Ebből: Ebrendészeti hozzájárulás</t>
  </si>
  <si>
    <t xml:space="preserve">            Házi-és gyermekügyeleti hozzájárulás</t>
  </si>
  <si>
    <t xml:space="preserve">           Ivóvíz hozzájárulás</t>
  </si>
  <si>
    <t>Összesen (II./1-7.)</t>
  </si>
  <si>
    <t>Összesen (I/1-7.)</t>
  </si>
  <si>
    <t>Képviselő testületi és igazgatási feladatok</t>
  </si>
  <si>
    <t>Zöldterület-gazdálkodássa, településüzemeltetéssell kapcsolatos feladatok</t>
  </si>
  <si>
    <t>TOP 3.2.1-15 Energetikai pályázat</t>
  </si>
  <si>
    <t>TOP 3.2.2-15 Biomassza fűtésrendszer kialakítása</t>
  </si>
  <si>
    <t>CSENGŐD KÖZSÉG ÖNKORMÁNYZATA</t>
  </si>
  <si>
    <t xml:space="preserve">                                                                                                        Állami (államigazgatási) feladatellátáshoz</t>
  </si>
  <si>
    <t xml:space="preserve">                                              Önként vállalt feladatellátáshoz</t>
  </si>
  <si>
    <t xml:space="preserve">           '- kulturális illetménypótlék</t>
  </si>
  <si>
    <t>Környezetvédelmi feladatok</t>
  </si>
  <si>
    <t>Elvonások és befizetések</t>
  </si>
  <si>
    <t>TOP-4.2.1-15 Szociális étkeztetés fejlesztése</t>
  </si>
  <si>
    <t>Konyhai gépek beszerzése</t>
  </si>
  <si>
    <t>B411</t>
  </si>
  <si>
    <t>B25 Egyéb felhalmozási célú támogatások bevételei államháztartáson belülről</t>
  </si>
  <si>
    <t>B21 Felhalmozási célú önkormányzati támogatások</t>
  </si>
  <si>
    <t>- 2016. évről áthúzódó bérkompenzáció támogatása</t>
  </si>
  <si>
    <t>-Polgármesteri illetmény támogatása</t>
  </si>
  <si>
    <t>-nem közművel összegyűjtött háztartási szennyvíz ártalmatlanítása</t>
  </si>
  <si>
    <t>- közművelődési feladatok támogatása</t>
  </si>
  <si>
    <t xml:space="preserve">       '- közművelődési feladatok támogatása</t>
  </si>
  <si>
    <t>VP</t>
  </si>
  <si>
    <t>Óvodabővítés</t>
  </si>
  <si>
    <t>Tárgyi eszköz beszerzése</t>
  </si>
  <si>
    <t>Óvodai kapacitásbővítést célzó beruházás</t>
  </si>
  <si>
    <t>VP6-7.2.1-7.4.1.2-16 pályázat</t>
  </si>
  <si>
    <t>TOP-1.4.1-16-BK1-2017-00007.</t>
  </si>
  <si>
    <t>TOP-1.4.1.-16. Mini bölcsőde létrehozása</t>
  </si>
  <si>
    <t>Építési beruházás</t>
  </si>
  <si>
    <t>Eszköz beszerzés</t>
  </si>
  <si>
    <t>Előkészítési és tervezési munkák</t>
  </si>
  <si>
    <t>-Tárgyi eszközök beszerzése (mágnesszelep, fólia, szalag, szalagos indítócsap, öntöző)</t>
  </si>
  <si>
    <t>Hangfal</t>
  </si>
  <si>
    <t>Közművelődés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</si>
  <si>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</si>
  <si>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</t>
  </si>
  <si>
    <t>VP6-7.2.1-7.4.1.3-17 -piac önrész</t>
  </si>
  <si>
    <t>VP6-7.2.1-7.4.1.3-17 -piac</t>
  </si>
  <si>
    <t xml:space="preserve">VP6-19.2.1.-91-3.-17 </t>
  </si>
  <si>
    <t>-Tárgyi eszközök beszezése</t>
  </si>
  <si>
    <t>Szociális és gyermekjóléti feladatok</t>
  </si>
  <si>
    <t>VP6-7.2.1-7.4.1.2-16-"Telefonos út stabilizációja"</t>
  </si>
  <si>
    <t>VP6-19.2.1.-91-3.-17 -térfigyelőkamera rendszer kiépítése</t>
  </si>
  <si>
    <r>
      <t xml:space="preserve">AZ ÖNKORMÁNYZAT KIADÁSAI FINANSZÍROZÁSI KIADÁSOKKAL ÖSSZESEN </t>
    </r>
    <r>
      <rPr>
        <sz val="8"/>
        <rFont val="Times New Roman CE"/>
        <family val="1"/>
        <charset val="238"/>
      </rPr>
      <t>( 1-20. sorok )</t>
    </r>
  </si>
  <si>
    <t>Költségvetési tartalék, céltartalék</t>
  </si>
  <si>
    <t>Informatikai eszköz beszerzése</t>
  </si>
  <si>
    <t>2018. évi országgyűlési választás</t>
  </si>
  <si>
    <t>B1. Működési célú támogatások államháztartáson belülről (B11.+…+B16.)</t>
  </si>
  <si>
    <t>Egyéb működési célú bevételek</t>
  </si>
  <si>
    <t>Csengőd 68. hrsz-ú ingatlan vásárlása</t>
  </si>
  <si>
    <t>Területalapú támogatás</t>
  </si>
  <si>
    <t>Klímaberendezés</t>
  </si>
  <si>
    <t>ebből: Kompresszor</t>
  </si>
  <si>
    <t xml:space="preserve">           Járműkövetési egységcsomag</t>
  </si>
  <si>
    <t xml:space="preserve">          tárgyi eszköz</t>
  </si>
  <si>
    <t>Varroda utca vásárlása</t>
  </si>
  <si>
    <t>Mezei őrszolgálat fenntartása</t>
  </si>
  <si>
    <t>Fegyverszekrény</t>
  </si>
  <si>
    <t>Mezei őrszolgálat</t>
  </si>
  <si>
    <t>Csengőd 053/9. hrsz-ú ingataln vásárlása</t>
  </si>
  <si>
    <t>Fogorvosi, háziorvosi alapellátás</t>
  </si>
  <si>
    <t>Bethlen Gábor Alapból támogatás</t>
  </si>
  <si>
    <t>Készletértékesítés ellenértéke</t>
  </si>
  <si>
    <t>Felhalmozási     célú</t>
  </si>
</sst>
</file>

<file path=xl/styles.xml><?xml version="1.0" encoding="utf-8"?>
<styleSheet xmlns="http://schemas.openxmlformats.org/spreadsheetml/2006/main">
  <numFmts count="2">
    <numFmt numFmtId="42" formatCode="_-* #,##0\ &quot;Ft&quot;_-;\-* #,##0\ &quot;Ft&quot;_-;_-* &quot;-&quot;\ &quot;Ft&quot;_-;_-@_-"/>
    <numFmt numFmtId="41" formatCode="_-* #,##0\ _F_t_-;\-* #,##0\ _F_t_-;_-* &quot;-&quot;\ _F_t_-;_-@_-"/>
  </numFmts>
  <fonts count="79">
    <font>
      <sz val="10"/>
      <name val="Arial CE"/>
      <charset val="238"/>
    </font>
    <font>
      <sz val="10"/>
      <name val="Arial CE"/>
      <charset val="238"/>
    </font>
    <font>
      <sz val="10"/>
      <color indexed="8"/>
      <name val="Tahoma"/>
      <family val="2"/>
    </font>
    <font>
      <sz val="6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7"/>
      <name val="Tahoma"/>
      <family val="2"/>
      <charset val="238"/>
    </font>
    <font>
      <sz val="7"/>
      <name val="Tahoma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b/>
      <sz val="9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charset val="238"/>
    </font>
    <font>
      <b/>
      <sz val="10"/>
      <name val="Times New Roman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i/>
      <sz val="10"/>
      <name val="Arial CE"/>
      <charset val="238"/>
    </font>
    <font>
      <b/>
      <i/>
      <sz val="8"/>
      <name val="Times New Roman CE"/>
      <charset val="238"/>
    </font>
    <font>
      <sz val="10"/>
      <name val="Times New Roman CE"/>
      <charset val="238"/>
    </font>
    <font>
      <sz val="10"/>
      <color indexed="10"/>
      <name val="Times New Roman"/>
      <family val="1"/>
      <charset val="238"/>
    </font>
    <font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7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name val="Arial CE"/>
      <charset val="238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b/>
      <sz val="7"/>
      <color theme="1"/>
      <name val="Times New Roman CE"/>
      <family val="1"/>
      <charset val="238"/>
    </font>
    <font>
      <b/>
      <i/>
      <sz val="8"/>
      <color rgb="FFFFFF00"/>
      <name val="Times New Roman CE"/>
      <family val="1"/>
      <charset val="238"/>
    </font>
    <font>
      <i/>
      <sz val="8"/>
      <color rgb="FFFFFF00"/>
      <name val="Times New Roman CE"/>
      <family val="1"/>
      <charset val="238"/>
    </font>
    <font>
      <sz val="8"/>
      <color rgb="FFFFFF00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i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ahoma"/>
      <family val="2"/>
    </font>
    <font>
      <i/>
      <sz val="9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b/>
      <i/>
      <sz val="10"/>
      <color rgb="FFFF0000"/>
      <name val="Times New Roman CE"/>
      <family val="1"/>
      <charset val="238"/>
    </font>
    <font>
      <b/>
      <sz val="10"/>
      <color rgb="FFFF0000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8"/>
      <name val="Arial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name val="Times New Roman CE"/>
      <charset val="238"/>
    </font>
    <font>
      <b/>
      <sz val="12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2" fillId="0" borderId="0"/>
  </cellStyleXfs>
  <cellXfs count="955">
    <xf numFmtId="0" fontId="0" fillId="0" borderId="0" xfId="0"/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shrinkToFit="1"/>
    </xf>
    <xf numFmtId="0" fontId="6" fillId="0" borderId="0" xfId="0" applyFont="1" applyFill="1" applyAlignment="1">
      <alignment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Alignment="1">
      <alignment shrinkToFit="1"/>
    </xf>
    <xf numFmtId="0" fontId="7" fillId="0" borderId="0" xfId="0" applyFont="1" applyFill="1" applyAlignment="1">
      <alignment shrinkToFit="1"/>
    </xf>
    <xf numFmtId="0" fontId="7" fillId="0" borderId="0" xfId="0" applyFont="1" applyFill="1" applyAlignment="1">
      <alignment vertical="center" shrinkToFit="1"/>
    </xf>
    <xf numFmtId="3" fontId="9" fillId="0" borderId="0" xfId="0" applyNumberFormat="1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/>
    <xf numFmtId="0" fontId="15" fillId="0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horizontal="justify" vertical="center" shrinkToFit="1"/>
    </xf>
    <xf numFmtId="0" fontId="17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0" fontId="20" fillId="0" borderId="0" xfId="0" applyFont="1"/>
    <xf numFmtId="3" fontId="12" fillId="0" borderId="0" xfId="2" applyNumberFormat="1" applyFont="1" applyFill="1" applyAlignment="1">
      <alignment vertical="center"/>
    </xf>
    <xf numFmtId="3" fontId="13" fillId="0" borderId="0" xfId="2" applyNumberFormat="1" applyFont="1" applyFill="1" applyBorder="1" applyAlignment="1">
      <alignment horizontal="center" vertical="center"/>
    </xf>
    <xf numFmtId="3" fontId="14" fillId="0" borderId="0" xfId="2" applyNumberFormat="1" applyFont="1" applyFill="1" applyAlignment="1">
      <alignment vertical="center"/>
    </xf>
    <xf numFmtId="0" fontId="18" fillId="0" borderId="0" xfId="0" applyFont="1"/>
    <xf numFmtId="3" fontId="0" fillId="0" borderId="0" xfId="0" applyNumberFormat="1"/>
    <xf numFmtId="3" fontId="28" fillId="0" borderId="0" xfId="2" applyNumberFormat="1" applyFont="1" applyFill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9" fillId="0" borderId="0" xfId="2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 shrinkToFit="1"/>
    </xf>
    <xf numFmtId="0" fontId="32" fillId="0" borderId="0" xfId="0" applyFont="1"/>
    <xf numFmtId="3" fontId="0" fillId="0" borderId="0" xfId="0" applyNumberFormat="1" applyAlignment="1"/>
    <xf numFmtId="3" fontId="3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vertical="center" shrinkToFit="1"/>
    </xf>
    <xf numFmtId="3" fontId="2" fillId="0" borderId="0" xfId="0" applyNumberFormat="1" applyFont="1" applyFill="1" applyAlignment="1">
      <alignment vertical="center" shrinkToFit="1"/>
    </xf>
    <xf numFmtId="3" fontId="12" fillId="0" borderId="0" xfId="0" applyNumberFormat="1" applyFont="1" applyFill="1" applyAlignment="1">
      <alignment vertical="center"/>
    </xf>
    <xf numFmtId="3" fontId="23" fillId="0" borderId="8" xfId="0" applyNumberFormat="1" applyFont="1" applyFill="1" applyBorder="1" applyAlignment="1">
      <alignment vertical="center"/>
    </xf>
    <xf numFmtId="3" fontId="23" fillId="0" borderId="8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>
      <alignment horizontal="right" vertical="center"/>
    </xf>
    <xf numFmtId="0" fontId="36" fillId="0" borderId="0" xfId="0" applyFont="1" applyFill="1" applyAlignment="1">
      <alignment horizontal="center" shrinkToFit="1"/>
    </xf>
    <xf numFmtId="2" fontId="23" fillId="0" borderId="0" xfId="0" applyNumberFormat="1" applyFont="1" applyFill="1" applyAlignment="1">
      <alignment shrinkToFit="1"/>
    </xf>
    <xf numFmtId="0" fontId="36" fillId="0" borderId="0" xfId="0" applyFont="1" applyFill="1" applyAlignment="1">
      <alignment horizontal="justify" shrinkToFit="1"/>
    </xf>
    <xf numFmtId="0" fontId="36" fillId="0" borderId="0" xfId="0" applyFont="1" applyFill="1" applyAlignment="1">
      <alignment horizontal="right" shrinkToFit="1"/>
    </xf>
    <xf numFmtId="0" fontId="23" fillId="0" borderId="17" xfId="0" applyFont="1" applyFill="1" applyBorder="1" applyAlignment="1">
      <alignment horizontal="center" shrinkToFit="1"/>
    </xf>
    <xf numFmtId="2" fontId="23" fillId="0" borderId="7" xfId="0" applyNumberFormat="1" applyFont="1" applyFill="1" applyBorder="1" applyAlignment="1">
      <alignment shrinkToFit="1"/>
    </xf>
    <xf numFmtId="0" fontId="23" fillId="0" borderId="10" xfId="0" applyFont="1" applyFill="1" applyBorder="1" applyAlignment="1">
      <alignment horizontal="justify" shrinkToFit="1"/>
    </xf>
    <xf numFmtId="0" fontId="23" fillId="0" borderId="35" xfId="0" applyFont="1" applyFill="1" applyBorder="1" applyAlignment="1">
      <alignment horizontal="center" shrinkToFit="1"/>
    </xf>
    <xf numFmtId="0" fontId="24" fillId="0" borderId="9" xfId="0" applyFont="1" applyFill="1" applyBorder="1" applyAlignment="1">
      <alignment horizontal="center" shrinkToFit="1"/>
    </xf>
    <xf numFmtId="0" fontId="23" fillId="0" borderId="4" xfId="0" applyFont="1" applyFill="1" applyBorder="1" applyAlignment="1">
      <alignment horizontal="center" shrinkToFit="1"/>
    </xf>
    <xf numFmtId="2" fontId="23" fillId="0" borderId="36" xfId="0" applyNumberFormat="1" applyFont="1" applyFill="1" applyBorder="1" applyAlignment="1">
      <alignment shrinkToFit="1"/>
    </xf>
    <xf numFmtId="0" fontId="35" fillId="0" borderId="5" xfId="0" applyFont="1" applyFill="1" applyBorder="1" applyAlignment="1">
      <alignment horizontal="justify" shrinkToFit="1"/>
    </xf>
    <xf numFmtId="0" fontId="35" fillId="0" borderId="37" xfId="0" applyFont="1" applyFill="1" applyBorder="1" applyAlignment="1">
      <alignment horizontal="center" shrinkToFit="1"/>
    </xf>
    <xf numFmtId="2" fontId="24" fillId="0" borderId="38" xfId="0" applyNumberFormat="1" applyFont="1" applyFill="1" applyBorder="1" applyAlignment="1">
      <alignment vertical="center" wrapText="1"/>
    </xf>
    <xf numFmtId="2" fontId="24" fillId="0" borderId="1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shrinkToFit="1"/>
    </xf>
    <xf numFmtId="2" fontId="23" fillId="0" borderId="23" xfId="0" applyNumberFormat="1" applyFont="1" applyFill="1" applyBorder="1" applyAlignment="1">
      <alignment shrinkToFit="1"/>
    </xf>
    <xf numFmtId="3" fontId="23" fillId="2" borderId="23" xfId="0" applyNumberFormat="1" applyFont="1" applyFill="1" applyBorder="1" applyAlignment="1">
      <alignment horizontal="right" shrinkToFit="1"/>
    </xf>
    <xf numFmtId="2" fontId="23" fillId="0" borderId="23" xfId="0" applyNumberFormat="1" applyFont="1" applyFill="1" applyBorder="1" applyAlignment="1">
      <alignment horizontal="left" shrinkToFit="1"/>
    </xf>
    <xf numFmtId="2" fontId="23" fillId="0" borderId="11" xfId="0" applyNumberFormat="1" applyFont="1" applyFill="1" applyBorder="1" applyAlignment="1">
      <alignment shrinkToFit="1"/>
    </xf>
    <xf numFmtId="3" fontId="23" fillId="2" borderId="11" xfId="0" applyNumberFormat="1" applyFont="1" applyFill="1" applyBorder="1" applyAlignment="1">
      <alignment horizontal="right" shrinkToFit="1"/>
    </xf>
    <xf numFmtId="2" fontId="24" fillId="0" borderId="2" xfId="0" applyNumberFormat="1" applyFont="1" applyFill="1" applyBorder="1" applyAlignment="1">
      <alignment horizontal="center" vertical="center" shrinkToFit="1"/>
    </xf>
    <xf numFmtId="2" fontId="24" fillId="0" borderId="3" xfId="0" applyNumberFormat="1" applyFont="1" applyFill="1" applyBorder="1" applyAlignment="1">
      <alignment vertical="center" shrinkToFit="1"/>
    </xf>
    <xf numFmtId="0" fontId="23" fillId="0" borderId="46" xfId="0" applyFont="1" applyFill="1" applyBorder="1" applyAlignment="1">
      <alignment horizontal="center" vertical="center" shrinkToFit="1"/>
    </xf>
    <xf numFmtId="2" fontId="23" fillId="0" borderId="0" xfId="0" applyNumberFormat="1" applyFont="1" applyFill="1" applyBorder="1" applyAlignment="1">
      <alignment vertical="center" wrapText="1"/>
    </xf>
    <xf numFmtId="3" fontId="24" fillId="0" borderId="47" xfId="0" applyNumberFormat="1" applyFont="1" applyFill="1" applyBorder="1" applyAlignment="1">
      <alignment horizontal="right" vertical="center" shrinkToFit="1"/>
    </xf>
    <xf numFmtId="2" fontId="23" fillId="0" borderId="18" xfId="0" applyNumberFormat="1" applyFont="1" applyFill="1" applyBorder="1" applyAlignment="1">
      <alignment shrinkToFit="1"/>
    </xf>
    <xf numFmtId="2" fontId="24" fillId="0" borderId="9" xfId="0" applyNumberFormat="1" applyFont="1" applyFill="1" applyBorder="1" applyAlignment="1">
      <alignment vertical="center" shrinkToFit="1"/>
    </xf>
    <xf numFmtId="3" fontId="23" fillId="0" borderId="9" xfId="0" applyNumberFormat="1" applyFont="1" applyFill="1" applyBorder="1" applyAlignment="1">
      <alignment horizontal="right" vertical="center" shrinkToFit="1"/>
    </xf>
    <xf numFmtId="0" fontId="24" fillId="0" borderId="2" xfId="0" applyFont="1" applyFill="1" applyBorder="1" applyAlignment="1">
      <alignment horizontal="center" shrinkToFit="1"/>
    </xf>
    <xf numFmtId="2" fontId="24" fillId="0" borderId="3" xfId="0" applyNumberFormat="1" applyFont="1" applyFill="1" applyBorder="1" applyAlignment="1">
      <alignment shrinkToFit="1"/>
    </xf>
    <xf numFmtId="0" fontId="24" fillId="0" borderId="46" xfId="0" applyFont="1" applyFill="1" applyBorder="1" applyAlignment="1">
      <alignment horizontal="center" shrinkToFit="1"/>
    </xf>
    <xf numFmtId="2" fontId="24" fillId="0" borderId="11" xfId="0" applyNumberFormat="1" applyFont="1" applyFill="1" applyBorder="1" applyAlignment="1">
      <alignment shrinkToFit="1"/>
    </xf>
    <xf numFmtId="0" fontId="24" fillId="0" borderId="31" xfId="0" applyFont="1" applyFill="1" applyBorder="1" applyAlignment="1">
      <alignment horizontal="center" shrinkToFit="1"/>
    </xf>
    <xf numFmtId="2" fontId="24" fillId="0" borderId="48" xfId="0" applyNumberFormat="1" applyFont="1" applyFill="1" applyBorder="1" applyAlignment="1">
      <alignment shrinkToFit="1"/>
    </xf>
    <xf numFmtId="3" fontId="36" fillId="0" borderId="0" xfId="0" applyNumberFormat="1" applyFont="1" applyFill="1" applyAlignment="1">
      <alignment horizontal="justify" shrinkToFit="1"/>
    </xf>
    <xf numFmtId="0" fontId="37" fillId="0" borderId="0" xfId="0" applyFont="1" applyFill="1" applyAlignment="1">
      <alignment horizontal="justify" shrinkToFit="1"/>
    </xf>
    <xf numFmtId="0" fontId="37" fillId="0" borderId="0" xfId="0" applyFont="1" applyFill="1" applyAlignment="1">
      <alignment horizontal="center" shrinkToFit="1"/>
    </xf>
    <xf numFmtId="0" fontId="26" fillId="0" borderId="0" xfId="0" applyFont="1" applyFill="1" applyAlignment="1">
      <alignment vertical="center" shrinkToFit="1"/>
    </xf>
    <xf numFmtId="0" fontId="23" fillId="0" borderId="0" xfId="0" applyFont="1"/>
    <xf numFmtId="0" fontId="38" fillId="0" borderId="0" xfId="0" applyFont="1" applyFill="1" applyAlignment="1">
      <alignment horizontal="right" vertical="center" shrinkToFit="1"/>
    </xf>
    <xf numFmtId="0" fontId="26" fillId="0" borderId="3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shrinkToFit="1"/>
    </xf>
    <xf numFmtId="0" fontId="39" fillId="0" borderId="0" xfId="0" applyFont="1" applyFill="1" applyBorder="1" applyAlignment="1">
      <alignment vertical="center" shrinkToFit="1"/>
    </xf>
    <xf numFmtId="0" fontId="26" fillId="0" borderId="32" xfId="0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4" fontId="28" fillId="0" borderId="0" xfId="2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 shrinkToFit="1"/>
    </xf>
    <xf numFmtId="0" fontId="12" fillId="0" borderId="4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28" fillId="0" borderId="46" xfId="0" applyFont="1" applyBorder="1" applyAlignment="1">
      <alignment horizontal="center" vertical="center" wrapText="1"/>
    </xf>
    <xf numFmtId="0" fontId="12" fillId="0" borderId="72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3" fontId="14" fillId="0" borderId="1" xfId="2" applyNumberFormat="1" applyFont="1" applyFill="1" applyBorder="1" applyAlignment="1">
      <alignment vertical="center"/>
    </xf>
    <xf numFmtId="3" fontId="29" fillId="0" borderId="1" xfId="2" applyNumberFormat="1" applyFont="1" applyFill="1" applyBorder="1" applyAlignment="1">
      <alignment vertical="center"/>
    </xf>
    <xf numFmtId="3" fontId="12" fillId="0" borderId="1" xfId="2" applyNumberFormat="1" applyFont="1" applyFill="1" applyBorder="1" applyAlignment="1">
      <alignment vertical="center"/>
    </xf>
    <xf numFmtId="3" fontId="28" fillId="0" borderId="1" xfId="2" applyNumberFormat="1" applyFont="1" applyFill="1" applyBorder="1" applyAlignment="1">
      <alignment vertical="center"/>
    </xf>
    <xf numFmtId="0" fontId="40" fillId="0" borderId="79" xfId="0" applyFont="1" applyFill="1" applyBorder="1" applyAlignment="1">
      <alignment horizontal="center" vertical="center"/>
    </xf>
    <xf numFmtId="3" fontId="23" fillId="2" borderId="9" xfId="0" applyNumberFormat="1" applyFont="1" applyFill="1" applyBorder="1" applyAlignment="1">
      <alignment horizontal="right" vertical="center" shrinkToFit="1"/>
    </xf>
    <xf numFmtId="3" fontId="24" fillId="2" borderId="42" xfId="0" applyNumberFormat="1" applyFont="1" applyFill="1" applyBorder="1" applyAlignment="1">
      <alignment horizontal="right" shrinkToFit="1"/>
    </xf>
    <xf numFmtId="3" fontId="36" fillId="0" borderId="0" xfId="0" applyNumberFormat="1" applyFont="1" applyFill="1" applyAlignment="1">
      <alignment horizontal="right" shrinkToFit="1"/>
    </xf>
    <xf numFmtId="0" fontId="4" fillId="0" borderId="0" xfId="0" applyFont="1" applyFill="1" applyAlignment="1">
      <alignment vertical="center" wrapText="1" shrinkToFit="1"/>
    </xf>
    <xf numFmtId="3" fontId="37" fillId="0" borderId="0" xfId="0" applyNumberFormat="1" applyFont="1" applyFill="1" applyAlignment="1">
      <alignment horizontal="justify" shrinkToFit="1"/>
    </xf>
    <xf numFmtId="3" fontId="3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shrinkToFit="1"/>
    </xf>
    <xf numFmtId="3" fontId="5" fillId="0" borderId="0" xfId="0" applyNumberFormat="1" applyFont="1" applyFill="1" applyAlignment="1">
      <alignment shrinkToFit="1"/>
    </xf>
    <xf numFmtId="3" fontId="12" fillId="0" borderId="0" xfId="0" applyNumberFormat="1" applyFont="1" applyFill="1" applyAlignment="1">
      <alignment horizontal="right" vertical="center" shrinkToFit="1"/>
    </xf>
    <xf numFmtId="0" fontId="12" fillId="0" borderId="0" xfId="0" applyFont="1" applyFill="1" applyAlignment="1">
      <alignment vertical="center" shrinkToFit="1"/>
    </xf>
    <xf numFmtId="1" fontId="12" fillId="0" borderId="0" xfId="2" applyNumberFormat="1" applyFont="1" applyFill="1" applyAlignment="1">
      <alignment horizontal="right" vertical="center"/>
    </xf>
    <xf numFmtId="3" fontId="34" fillId="0" borderId="0" xfId="2" applyNumberFormat="1" applyFont="1" applyFill="1" applyAlignment="1">
      <alignment horizontal="center" vertical="center"/>
    </xf>
    <xf numFmtId="3" fontId="20" fillId="0" borderId="0" xfId="0" applyNumberFormat="1" applyFont="1"/>
    <xf numFmtId="3" fontId="14" fillId="0" borderId="0" xfId="2" applyNumberFormat="1" applyFont="1" applyFill="1" applyBorder="1" applyAlignment="1">
      <alignment vertical="center"/>
    </xf>
    <xf numFmtId="3" fontId="29" fillId="0" borderId="0" xfId="2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3" fontId="28" fillId="0" borderId="0" xfId="2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27" fillId="3" borderId="0" xfId="0" applyNumberFormat="1" applyFont="1" applyFill="1" applyAlignment="1">
      <alignment vertical="center"/>
    </xf>
    <xf numFmtId="3" fontId="10" fillId="3" borderId="0" xfId="0" applyNumberFormat="1" applyFont="1" applyFill="1" applyAlignment="1">
      <alignment vertical="center"/>
    </xf>
    <xf numFmtId="3" fontId="45" fillId="3" borderId="0" xfId="0" applyNumberFormat="1" applyFont="1" applyFill="1" applyAlignment="1">
      <alignment vertical="center"/>
    </xf>
    <xf numFmtId="3" fontId="46" fillId="3" borderId="0" xfId="0" applyNumberFormat="1" applyFont="1" applyFill="1" applyAlignment="1">
      <alignment vertical="center"/>
    </xf>
    <xf numFmtId="3" fontId="47" fillId="3" borderId="0" xfId="0" applyNumberFormat="1" applyFont="1" applyFill="1" applyAlignment="1">
      <alignment vertical="center"/>
    </xf>
    <xf numFmtId="3" fontId="33" fillId="3" borderId="0" xfId="0" applyNumberFormat="1" applyFont="1" applyFill="1" applyAlignment="1">
      <alignment vertical="center"/>
    </xf>
    <xf numFmtId="3" fontId="43" fillId="3" borderId="0" xfId="2" applyNumberFormat="1" applyFont="1" applyFill="1" applyAlignment="1">
      <alignment horizontal="center" vertical="center"/>
    </xf>
    <xf numFmtId="3" fontId="42" fillId="3" borderId="0" xfId="2" applyNumberFormat="1" applyFont="1" applyFill="1" applyAlignment="1">
      <alignment vertical="center"/>
    </xf>
    <xf numFmtId="3" fontId="34" fillId="3" borderId="8" xfId="0" applyNumberFormat="1" applyFont="1" applyFill="1" applyBorder="1" applyAlignment="1">
      <alignment horizontal="left" vertical="center" wrapText="1"/>
    </xf>
    <xf numFmtId="3" fontId="23" fillId="3" borderId="8" xfId="0" applyNumberFormat="1" applyFont="1" applyFill="1" applyBorder="1" applyAlignment="1">
      <alignment horizontal="right" vertical="center"/>
    </xf>
    <xf numFmtId="3" fontId="23" fillId="3" borderId="28" xfId="0" applyNumberFormat="1" applyFont="1" applyFill="1" applyBorder="1" applyAlignment="1">
      <alignment horizontal="right" vertical="center"/>
    </xf>
    <xf numFmtId="3" fontId="34" fillId="3" borderId="24" xfId="0" applyNumberFormat="1" applyFont="1" applyFill="1" applyBorder="1" applyAlignment="1">
      <alignment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2" fontId="23" fillId="3" borderId="26" xfId="0" applyNumberFormat="1" applyFont="1" applyFill="1" applyBorder="1" applyAlignment="1">
      <alignment wrapText="1"/>
    </xf>
    <xf numFmtId="3" fontId="23" fillId="3" borderId="28" xfId="0" applyNumberFormat="1" applyFont="1" applyFill="1" applyBorder="1" applyAlignment="1">
      <alignment vertical="center" wrapText="1"/>
    </xf>
    <xf numFmtId="3" fontId="23" fillId="3" borderId="26" xfId="0" applyNumberFormat="1" applyFont="1" applyFill="1" applyBorder="1" applyAlignment="1">
      <alignment horizontal="left" vertical="center" wrapText="1"/>
    </xf>
    <xf numFmtId="3" fontId="23" fillId="3" borderId="57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shrinkToFit="1"/>
    </xf>
    <xf numFmtId="3" fontId="12" fillId="0" borderId="23" xfId="0" applyNumberFormat="1" applyFont="1" applyBorder="1" applyAlignment="1">
      <alignment vertical="center" wrapText="1"/>
    </xf>
    <xf numFmtId="3" fontId="14" fillId="0" borderId="27" xfId="0" applyNumberFormat="1" applyFont="1" applyBorder="1" applyAlignment="1">
      <alignment vertical="center" wrapText="1"/>
    </xf>
    <xf numFmtId="3" fontId="12" fillId="3" borderId="23" xfId="0" applyNumberFormat="1" applyFont="1" applyFill="1" applyBorder="1" applyAlignment="1">
      <alignment vertical="center" wrapText="1"/>
    </xf>
    <xf numFmtId="3" fontId="14" fillId="3" borderId="36" xfId="0" applyNumberFormat="1" applyFont="1" applyFill="1" applyBorder="1" applyAlignment="1">
      <alignment vertical="center" wrapText="1"/>
    </xf>
    <xf numFmtId="3" fontId="14" fillId="0" borderId="36" xfId="0" applyNumberFormat="1" applyFont="1" applyBorder="1" applyAlignment="1">
      <alignment vertical="center" wrapText="1"/>
    </xf>
    <xf numFmtId="3" fontId="23" fillId="0" borderId="38" xfId="0" applyNumberFormat="1" applyFont="1" applyFill="1" applyBorder="1" applyAlignment="1">
      <alignment horizontal="right" vertical="center" shrinkToFit="1"/>
    </xf>
    <xf numFmtId="3" fontId="24" fillId="0" borderId="39" xfId="0" applyNumberFormat="1" applyFont="1" applyFill="1" applyBorder="1" applyAlignment="1">
      <alignment horizontal="right" vertical="center" shrinkToFit="1"/>
    </xf>
    <xf numFmtId="3" fontId="23" fillId="0" borderId="11" xfId="0" applyNumberFormat="1" applyFont="1" applyFill="1" applyBorder="1" applyAlignment="1">
      <alignment horizontal="justify" vertical="center" shrinkToFit="1"/>
    </xf>
    <xf numFmtId="3" fontId="23" fillId="0" borderId="40" xfId="0" applyNumberFormat="1" applyFont="1" applyFill="1" applyBorder="1" applyAlignment="1">
      <alignment horizontal="right" vertical="center" shrinkToFit="1"/>
    </xf>
    <xf numFmtId="3" fontId="23" fillId="0" borderId="23" xfId="0" applyNumberFormat="1" applyFont="1" applyFill="1" applyBorder="1" applyAlignment="1">
      <alignment horizontal="right" shrinkToFit="1"/>
    </xf>
    <xf numFmtId="3" fontId="24" fillId="0" borderId="41" xfId="0" applyNumberFormat="1" applyFont="1" applyFill="1" applyBorder="1" applyAlignment="1">
      <alignment horizontal="right" shrinkToFit="1"/>
    </xf>
    <xf numFmtId="3" fontId="23" fillId="0" borderId="11" xfId="0" applyNumberFormat="1" applyFont="1" applyFill="1" applyBorder="1" applyAlignment="1">
      <alignment horizontal="right" shrinkToFit="1"/>
    </xf>
    <xf numFmtId="3" fontId="24" fillId="0" borderId="42" xfId="0" applyNumberFormat="1" applyFont="1" applyFill="1" applyBorder="1" applyAlignment="1">
      <alignment horizontal="right" shrinkToFit="1"/>
    </xf>
    <xf numFmtId="3" fontId="24" fillId="0" borderId="43" xfId="0" applyNumberFormat="1" applyFont="1" applyFill="1" applyBorder="1" applyAlignment="1">
      <alignment horizontal="right" shrinkToFit="1"/>
    </xf>
    <xf numFmtId="3" fontId="24" fillId="0" borderId="42" xfId="0" applyNumberFormat="1" applyFont="1" applyFill="1" applyBorder="1" applyAlignment="1">
      <alignment horizontal="right" vertical="center" shrinkToFit="1"/>
    </xf>
    <xf numFmtId="3" fontId="24" fillId="0" borderId="43" xfId="0" applyNumberFormat="1" applyFont="1" applyFill="1" applyBorder="1" applyAlignment="1">
      <alignment horizontal="right" vertical="center" shrinkToFit="1"/>
    </xf>
    <xf numFmtId="3" fontId="24" fillId="0" borderId="44" xfId="0" applyNumberFormat="1" applyFont="1" applyFill="1" applyBorder="1" applyAlignment="1">
      <alignment horizontal="right" vertical="center" shrinkToFit="1"/>
    </xf>
    <xf numFmtId="3" fontId="24" fillId="0" borderId="3" xfId="0" applyNumberFormat="1" applyFont="1" applyFill="1" applyBorder="1" applyAlignment="1">
      <alignment horizontal="right" vertical="center" shrinkToFit="1"/>
    </xf>
    <xf numFmtId="3" fontId="24" fillId="0" borderId="9" xfId="0" applyNumberFormat="1" applyFont="1" applyFill="1" applyBorder="1" applyAlignment="1">
      <alignment horizontal="right" vertical="center" shrinkToFit="1"/>
    </xf>
    <xf numFmtId="0" fontId="23" fillId="0" borderId="5" xfId="0" applyFont="1" applyFill="1" applyBorder="1" applyAlignment="1">
      <alignment horizontal="justify" shrinkToFit="1"/>
    </xf>
    <xf numFmtId="0" fontId="23" fillId="0" borderId="37" xfId="0" applyFont="1" applyFill="1" applyBorder="1" applyAlignment="1">
      <alignment horizontal="center" shrinkToFit="1"/>
    </xf>
    <xf numFmtId="0" fontId="23" fillId="0" borderId="9" xfId="0" applyFont="1" applyFill="1" applyBorder="1" applyAlignment="1">
      <alignment horizontal="justify" vertical="center" shrinkToFit="1"/>
    </xf>
    <xf numFmtId="0" fontId="23" fillId="2" borderId="9" xfId="0" applyFont="1" applyFill="1" applyBorder="1" applyAlignment="1">
      <alignment horizontal="justify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3" fontId="24" fillId="0" borderId="44" xfId="0" applyNumberFormat="1" applyFont="1" applyFill="1" applyBorder="1" applyAlignment="1">
      <alignment horizontal="right" shrinkToFit="1"/>
    </xf>
    <xf numFmtId="3" fontId="24" fillId="0" borderId="3" xfId="0" applyNumberFormat="1" applyFont="1" applyFill="1" applyBorder="1" applyAlignment="1">
      <alignment horizontal="right" shrinkToFit="1"/>
    </xf>
    <xf numFmtId="3" fontId="24" fillId="0" borderId="45" xfId="0" applyNumberFormat="1" applyFont="1" applyFill="1" applyBorder="1" applyAlignment="1">
      <alignment horizontal="right" shrinkToFit="1"/>
    </xf>
    <xf numFmtId="3" fontId="24" fillId="0" borderId="11" xfId="0" applyNumberFormat="1" applyFont="1" applyFill="1" applyBorder="1" applyAlignment="1">
      <alignment horizontal="right" shrinkToFit="1"/>
    </xf>
    <xf numFmtId="3" fontId="24" fillId="0" borderId="40" xfId="0" applyNumberFormat="1" applyFont="1" applyFill="1" applyBorder="1" applyAlignment="1">
      <alignment horizontal="right" shrinkToFit="1"/>
    </xf>
    <xf numFmtId="3" fontId="24" fillId="0" borderId="48" xfId="0" applyNumberFormat="1" applyFont="1" applyFill="1" applyBorder="1" applyAlignment="1">
      <alignment horizontal="right" shrinkToFit="1"/>
    </xf>
    <xf numFmtId="3" fontId="24" fillId="0" borderId="49" xfId="0" applyNumberFormat="1" applyFont="1" applyFill="1" applyBorder="1" applyAlignment="1">
      <alignment horizontal="right" shrinkToFit="1"/>
    </xf>
    <xf numFmtId="3" fontId="24" fillId="0" borderId="50" xfId="0" applyNumberFormat="1" applyFont="1" applyFill="1" applyBorder="1" applyAlignment="1">
      <alignment horizontal="right" vertical="center" shrinkToFit="1"/>
    </xf>
    <xf numFmtId="3" fontId="24" fillId="0" borderId="51" xfId="0" applyNumberFormat="1" applyFont="1" applyFill="1" applyBorder="1" applyAlignment="1">
      <alignment horizontal="right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horizontal="right" vertical="center" shrinkToFit="1"/>
    </xf>
    <xf numFmtId="3" fontId="24" fillId="0" borderId="41" xfId="0" applyNumberFormat="1" applyFont="1" applyFill="1" applyBorder="1" applyAlignment="1">
      <alignment horizontal="right" vertical="center" shrinkToFit="1"/>
    </xf>
    <xf numFmtId="0" fontId="23" fillId="0" borderId="62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vertical="center" wrapText="1"/>
    </xf>
    <xf numFmtId="3" fontId="23" fillId="0" borderId="63" xfId="0" applyNumberFormat="1" applyFont="1" applyFill="1" applyBorder="1" applyAlignment="1">
      <alignment horizontal="right" vertical="center" shrinkToFit="1"/>
    </xf>
    <xf numFmtId="3" fontId="24" fillId="0" borderId="40" xfId="0" applyNumberFormat="1" applyFont="1" applyFill="1" applyBorder="1" applyAlignment="1">
      <alignment horizontal="right" vertical="center" shrinkToFit="1"/>
    </xf>
    <xf numFmtId="0" fontId="23" fillId="0" borderId="52" xfId="0" quotePrefix="1" applyFont="1" applyFill="1" applyBorder="1" applyAlignment="1">
      <alignment horizontal="left" vertical="center" wrapText="1"/>
    </xf>
    <xf numFmtId="3" fontId="24" fillId="0" borderId="64" xfId="0" applyNumberFormat="1" applyFont="1" applyFill="1" applyBorder="1" applyAlignment="1">
      <alignment horizontal="right" vertical="center"/>
    </xf>
    <xf numFmtId="3" fontId="24" fillId="0" borderId="44" xfId="0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vertical="center" shrinkToFit="1"/>
    </xf>
    <xf numFmtId="0" fontId="23" fillId="0" borderId="53" xfId="0" applyFont="1" applyFill="1" applyBorder="1" applyAlignment="1">
      <alignment vertical="center" shrinkToFit="1"/>
    </xf>
    <xf numFmtId="0" fontId="23" fillId="0" borderId="54" xfId="0" applyFont="1" applyFill="1" applyBorder="1" applyAlignment="1">
      <alignment vertical="center" shrinkToFit="1"/>
    </xf>
    <xf numFmtId="0" fontId="23" fillId="0" borderId="37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22" xfId="0" applyFont="1" applyFill="1" applyBorder="1" applyAlignment="1">
      <alignment vertical="center" shrinkToFit="1"/>
    </xf>
    <xf numFmtId="0" fontId="23" fillId="0" borderId="18" xfId="0" applyFont="1" applyFill="1" applyBorder="1" applyAlignment="1">
      <alignment horizontal="right" vertical="center" shrinkToFit="1"/>
    </xf>
    <xf numFmtId="0" fontId="23" fillId="0" borderId="32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4" fillId="0" borderId="65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23" fillId="3" borderId="66" xfId="0" applyFont="1" applyFill="1" applyBorder="1" applyAlignment="1">
      <alignment horizontal="center" vertical="center" shrinkToFit="1"/>
    </xf>
    <xf numFmtId="0" fontId="23" fillId="3" borderId="25" xfId="0" applyFont="1" applyFill="1" applyBorder="1" applyAlignment="1">
      <alignment vertical="center" shrinkToFit="1"/>
    </xf>
    <xf numFmtId="3" fontId="23" fillId="3" borderId="61" xfId="0" applyNumberFormat="1" applyFont="1" applyFill="1" applyBorder="1" applyAlignment="1">
      <alignment horizontal="right" vertical="center" shrinkToFit="1"/>
    </xf>
    <xf numFmtId="3" fontId="24" fillId="3" borderId="41" xfId="0" applyNumberFormat="1" applyFont="1" applyFill="1" applyBorder="1" applyAlignment="1">
      <alignment horizontal="right" vertical="center" shrinkToFit="1"/>
    </xf>
    <xf numFmtId="0" fontId="23" fillId="3" borderId="62" xfId="0" applyFont="1" applyFill="1" applyBorder="1" applyAlignment="1">
      <alignment horizontal="center" vertical="center" shrinkToFit="1"/>
    </xf>
    <xf numFmtId="3" fontId="23" fillId="3" borderId="63" xfId="0" applyNumberFormat="1" applyFont="1" applyFill="1" applyBorder="1" applyAlignment="1">
      <alignment horizontal="right" vertical="center" shrinkToFit="1"/>
    </xf>
    <xf numFmtId="3" fontId="24" fillId="3" borderId="40" xfId="0" applyNumberFormat="1" applyFont="1" applyFill="1" applyBorder="1" applyAlignment="1">
      <alignment horizontal="right" vertical="center" shrinkToFit="1"/>
    </xf>
    <xf numFmtId="0" fontId="23" fillId="3" borderId="52" xfId="0" applyFont="1" applyFill="1" applyBorder="1" applyAlignment="1">
      <alignment vertical="center" shrinkToFit="1"/>
    </xf>
    <xf numFmtId="0" fontId="23" fillId="3" borderId="67" xfId="0" applyFont="1" applyFill="1" applyBorder="1" applyAlignment="1">
      <alignment horizontal="center" vertical="center" shrinkToFit="1"/>
    </xf>
    <xf numFmtId="0" fontId="23" fillId="3" borderId="56" xfId="0" applyFont="1" applyFill="1" applyBorder="1" applyAlignment="1">
      <alignment vertical="center" wrapText="1"/>
    </xf>
    <xf numFmtId="0" fontId="23" fillId="3" borderId="57" xfId="0" applyFont="1" applyFill="1" applyBorder="1" applyAlignment="1">
      <alignment vertical="center" shrinkToFit="1"/>
    </xf>
    <xf numFmtId="3" fontId="23" fillId="3" borderId="68" xfId="0" applyNumberFormat="1" applyFont="1" applyFill="1" applyBorder="1" applyAlignment="1">
      <alignment horizontal="right" vertical="center" shrinkToFit="1"/>
    </xf>
    <xf numFmtId="0" fontId="23" fillId="3" borderId="69" xfId="0" applyFont="1" applyFill="1" applyBorder="1" applyAlignment="1">
      <alignment horizontal="center" vertical="center" shrinkToFit="1"/>
    </xf>
    <xf numFmtId="0" fontId="23" fillId="3" borderId="58" xfId="0" applyFont="1" applyFill="1" applyBorder="1" applyAlignment="1">
      <alignment vertical="center" shrinkToFit="1"/>
    </xf>
    <xf numFmtId="3" fontId="24" fillId="3" borderId="47" xfId="0" applyNumberFormat="1" applyFont="1" applyFill="1" applyBorder="1" applyAlignment="1">
      <alignment horizontal="right" vertical="center" shrinkToFit="1"/>
    </xf>
    <xf numFmtId="3" fontId="24" fillId="3" borderId="70" xfId="0" applyNumberFormat="1" applyFont="1" applyFill="1" applyBorder="1" applyAlignment="1">
      <alignment horizontal="right" vertical="center" shrinkToFit="1"/>
    </xf>
    <xf numFmtId="3" fontId="24" fillId="3" borderId="71" xfId="0" applyNumberFormat="1" applyFont="1" applyFill="1" applyBorder="1" applyAlignment="1">
      <alignment horizontal="right" vertical="center" shrinkToFit="1"/>
    </xf>
    <xf numFmtId="3" fontId="50" fillId="0" borderId="0" xfId="2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3" fontId="23" fillId="0" borderId="23" xfId="0" applyNumberFormat="1" applyFont="1" applyFill="1" applyBorder="1" applyAlignment="1">
      <alignment horizontal="right" vertical="center" shrinkToFit="1"/>
    </xf>
    <xf numFmtId="0" fontId="0" fillId="0" borderId="0" xfId="0"/>
    <xf numFmtId="3" fontId="33" fillId="3" borderId="0" xfId="0" applyNumberFormat="1" applyFont="1" applyFill="1" applyBorder="1" applyAlignment="1">
      <alignment vertical="center"/>
    </xf>
    <xf numFmtId="2" fontId="24" fillId="0" borderId="2" xfId="0" applyNumberFormat="1" applyFont="1" applyFill="1" applyBorder="1" applyAlignment="1">
      <alignment horizontal="left" vertical="center" wrapText="1" shrinkToFit="1"/>
    </xf>
    <xf numFmtId="2" fontId="24" fillId="0" borderId="11" xfId="0" applyNumberFormat="1" applyFont="1" applyFill="1" applyBorder="1" applyAlignment="1">
      <alignment horizontal="center" shrinkToFit="1"/>
    </xf>
    <xf numFmtId="0" fontId="0" fillId="0" borderId="0" xfId="0"/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3" fontId="32" fillId="0" borderId="0" xfId="0" applyNumberFormat="1" applyFont="1"/>
    <xf numFmtId="0" fontId="32" fillId="0" borderId="0" xfId="0" applyFont="1" applyAlignment="1">
      <alignment wrapText="1"/>
    </xf>
    <xf numFmtId="3" fontId="12" fillId="0" borderId="15" xfId="2" applyNumberFormat="1" applyFont="1" applyFill="1" applyBorder="1" applyAlignment="1">
      <alignment vertical="center"/>
    </xf>
    <xf numFmtId="3" fontId="51" fillId="3" borderId="0" xfId="0" applyNumberFormat="1" applyFont="1" applyFill="1" applyBorder="1" applyAlignment="1">
      <alignment vertical="center"/>
    </xf>
    <xf numFmtId="0" fontId="0" fillId="0" borderId="22" xfId="0" applyBorder="1" applyAlignment="1"/>
    <xf numFmtId="0" fontId="28" fillId="0" borderId="9" xfId="0" applyFont="1" applyBorder="1" applyAlignment="1">
      <alignment horizontal="left" vertical="center" wrapText="1" indent="1"/>
    </xf>
    <xf numFmtId="0" fontId="1" fillId="0" borderId="22" xfId="0" applyFont="1" applyBorder="1"/>
    <xf numFmtId="0" fontId="28" fillId="0" borderId="9" xfId="0" applyFont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1" fontId="21" fillId="0" borderId="94" xfId="2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15" xfId="0" quotePrefix="1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4" fillId="0" borderId="8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 indent="1"/>
    </xf>
    <xf numFmtId="3" fontId="23" fillId="0" borderId="94" xfId="0" applyNumberFormat="1" applyFont="1" applyBorder="1" applyAlignment="1">
      <alignment horizontal="center" vertical="center" wrapText="1"/>
    </xf>
    <xf numFmtId="3" fontId="24" fillId="0" borderId="94" xfId="0" applyNumberFormat="1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4" fillId="0" borderId="85" xfId="0" applyNumberFormat="1" applyFont="1" applyBorder="1" applyAlignment="1">
      <alignment vertical="center" wrapText="1"/>
    </xf>
    <xf numFmtId="3" fontId="28" fillId="0" borderId="6" xfId="0" applyNumberFormat="1" applyFont="1" applyBorder="1" applyAlignment="1">
      <alignment vertical="center" wrapText="1"/>
    </xf>
    <xf numFmtId="3" fontId="28" fillId="0" borderId="9" xfId="0" applyNumberFormat="1" applyFont="1" applyBorder="1" applyAlignment="1">
      <alignment vertical="center" wrapText="1"/>
    </xf>
    <xf numFmtId="3" fontId="28" fillId="0" borderId="94" xfId="0" applyNumberFormat="1" applyFont="1" applyBorder="1" applyAlignment="1">
      <alignment vertical="center" wrapText="1"/>
    </xf>
    <xf numFmtId="3" fontId="28" fillId="0" borderId="15" xfId="0" applyNumberFormat="1" applyFont="1" applyBorder="1" applyAlignment="1">
      <alignment vertical="center" wrapText="1"/>
    </xf>
    <xf numFmtId="0" fontId="12" fillId="0" borderId="123" xfId="0" applyFont="1" applyBorder="1" applyAlignment="1">
      <alignment vertical="center" wrapText="1"/>
    </xf>
    <xf numFmtId="0" fontId="21" fillId="0" borderId="124" xfId="0" applyFont="1" applyBorder="1" applyAlignment="1">
      <alignment horizontal="center" vertical="center" wrapText="1"/>
    </xf>
    <xf numFmtId="3" fontId="14" fillId="3" borderId="124" xfId="0" applyNumberFormat="1" applyFont="1" applyFill="1" applyBorder="1" applyAlignment="1">
      <alignment vertical="center" wrapText="1"/>
    </xf>
    <xf numFmtId="3" fontId="14" fillId="0" borderId="124" xfId="0" applyNumberFormat="1" applyFont="1" applyBorder="1" applyAlignment="1">
      <alignment vertical="center" wrapText="1"/>
    </xf>
    <xf numFmtId="3" fontId="14" fillId="0" borderId="122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 indent="1"/>
    </xf>
    <xf numFmtId="3" fontId="14" fillId="3" borderId="15" xfId="0" applyNumberFormat="1" applyFont="1" applyFill="1" applyBorder="1" applyAlignment="1">
      <alignment vertical="center" wrapText="1"/>
    </xf>
    <xf numFmtId="3" fontId="14" fillId="3" borderId="6" xfId="0" applyNumberFormat="1" applyFont="1" applyFill="1" applyBorder="1" applyAlignment="1">
      <alignment vertical="center" wrapText="1"/>
    </xf>
    <xf numFmtId="3" fontId="14" fillId="3" borderId="14" xfId="0" applyNumberFormat="1" applyFont="1" applyFill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3" fontId="14" fillId="0" borderId="20" xfId="0" applyNumberFormat="1" applyFont="1" applyBorder="1" applyAlignment="1">
      <alignment vertical="center" wrapText="1"/>
    </xf>
    <xf numFmtId="3" fontId="14" fillId="0" borderId="88" xfId="0" applyNumberFormat="1" applyFont="1" applyBorder="1" applyAlignment="1">
      <alignment vertical="center" wrapText="1"/>
    </xf>
    <xf numFmtId="0" fontId="23" fillId="0" borderId="92" xfId="0" applyFont="1" applyBorder="1" applyAlignment="1">
      <alignment horizontal="center" vertical="center" wrapText="1"/>
    </xf>
    <xf numFmtId="3" fontId="23" fillId="3" borderId="121" xfId="0" applyNumberFormat="1" applyFont="1" applyFill="1" applyBorder="1" applyAlignment="1">
      <alignment horizontal="right" vertical="center" shrinkToFit="1"/>
    </xf>
    <xf numFmtId="3" fontId="23" fillId="0" borderId="125" xfId="0" applyNumberFormat="1" applyFont="1" applyFill="1" applyBorder="1" applyAlignment="1">
      <alignment horizontal="right" vertical="center" shrinkToFit="1"/>
    </xf>
    <xf numFmtId="3" fontId="0" fillId="3" borderId="0" xfId="0" applyNumberFormat="1" applyFill="1"/>
    <xf numFmtId="3" fontId="12" fillId="3" borderId="94" xfId="0" applyNumberFormat="1" applyFont="1" applyFill="1" applyBorder="1" applyAlignment="1">
      <alignment vertical="center" wrapText="1"/>
    </xf>
    <xf numFmtId="2" fontId="24" fillId="0" borderId="10" xfId="0" applyNumberFormat="1" applyFont="1" applyFill="1" applyBorder="1" applyAlignment="1">
      <alignment vertical="center" wrapText="1"/>
    </xf>
    <xf numFmtId="2" fontId="23" fillId="0" borderId="103" xfId="0" applyNumberFormat="1" applyFont="1" applyFill="1" applyBorder="1" applyAlignment="1">
      <alignment vertical="center" wrapText="1"/>
    </xf>
    <xf numFmtId="2" fontId="24" fillId="0" borderId="126" xfId="0" applyNumberFormat="1" applyFont="1" applyFill="1" applyBorder="1" applyAlignment="1">
      <alignment horizontal="left" vertical="center" wrapText="1" shrinkToFit="1"/>
    </xf>
    <xf numFmtId="3" fontId="24" fillId="3" borderId="2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shrinkToFit="1"/>
    </xf>
    <xf numFmtId="3" fontId="15" fillId="0" borderId="0" xfId="0" applyNumberFormat="1" applyFont="1" applyFill="1" applyBorder="1" applyAlignment="1">
      <alignment vertical="center" shrinkToFit="1"/>
    </xf>
    <xf numFmtId="41" fontId="15" fillId="0" borderId="0" xfId="0" applyNumberFormat="1" applyFont="1" applyFill="1" applyBorder="1" applyAlignment="1">
      <alignment vertical="center" shrinkToFit="1"/>
    </xf>
    <xf numFmtId="3" fontId="18" fillId="0" borderId="0" xfId="0" applyNumberFormat="1" applyFont="1"/>
    <xf numFmtId="3" fontId="53" fillId="3" borderId="0" xfId="0" applyNumberFormat="1" applyFont="1" applyFill="1" applyAlignment="1">
      <alignment vertical="center"/>
    </xf>
    <xf numFmtId="41" fontId="31" fillId="0" borderId="0" xfId="0" applyNumberFormat="1" applyFont="1" applyFill="1" applyBorder="1" applyAlignment="1">
      <alignment vertical="center" shrinkToFit="1"/>
    </xf>
    <xf numFmtId="41" fontId="16" fillId="0" borderId="0" xfId="0" applyNumberFormat="1" applyFont="1" applyFill="1" applyBorder="1" applyAlignment="1">
      <alignment horizontal="justify" vertical="center" shrinkToFit="1"/>
    </xf>
    <xf numFmtId="3" fontId="54" fillId="6" borderId="116" xfId="2" applyNumberFormat="1" applyFont="1" applyFill="1" applyBorder="1" applyAlignment="1">
      <alignment horizontal="center" vertical="center"/>
    </xf>
    <xf numFmtId="3" fontId="52" fillId="6" borderId="116" xfId="2" applyNumberFormat="1" applyFont="1" applyFill="1" applyBorder="1" applyAlignment="1">
      <alignment vertical="center"/>
    </xf>
    <xf numFmtId="3" fontId="54" fillId="6" borderId="110" xfId="2" applyNumberFormat="1" applyFont="1" applyFill="1" applyBorder="1" applyAlignment="1">
      <alignment horizontal="center" vertical="center"/>
    </xf>
    <xf numFmtId="3" fontId="52" fillId="6" borderId="117" xfId="2" applyNumberFormat="1" applyFont="1" applyFill="1" applyBorder="1" applyAlignment="1">
      <alignment vertical="center"/>
    </xf>
    <xf numFmtId="3" fontId="53" fillId="5" borderId="1" xfId="2" applyNumberFormat="1" applyFont="1" applyFill="1" applyBorder="1" applyAlignment="1">
      <alignment horizontal="center" vertical="center"/>
    </xf>
    <xf numFmtId="3" fontId="53" fillId="5" borderId="0" xfId="2" applyNumberFormat="1" applyFont="1" applyFill="1" applyBorder="1" applyAlignment="1">
      <alignment horizontal="center" vertical="center"/>
    </xf>
    <xf numFmtId="3" fontId="55" fillId="9" borderId="95" xfId="2" applyNumberFormat="1" applyFont="1" applyFill="1" applyBorder="1" applyAlignment="1">
      <alignment horizontal="center" vertical="center"/>
    </xf>
    <xf numFmtId="3" fontId="55" fillId="9" borderId="10" xfId="2" applyNumberFormat="1" applyFont="1" applyFill="1" applyBorder="1" applyAlignment="1">
      <alignment vertical="center"/>
    </xf>
    <xf numFmtId="3" fontId="55" fillId="9" borderId="7" xfId="2" applyNumberFormat="1" applyFont="1" applyFill="1" applyBorder="1" applyAlignment="1">
      <alignment horizontal="center" vertical="center"/>
    </xf>
    <xf numFmtId="3" fontId="55" fillId="9" borderId="94" xfId="2" applyNumberFormat="1" applyFont="1" applyFill="1" applyBorder="1" applyAlignment="1">
      <alignment horizontal="center" vertical="center"/>
    </xf>
    <xf numFmtId="3" fontId="55" fillId="9" borderId="15" xfId="2" applyNumberFormat="1" applyFont="1" applyFill="1" applyBorder="1" applyAlignment="1">
      <alignment vertical="center"/>
    </xf>
    <xf numFmtId="3" fontId="55" fillId="0" borderId="15" xfId="2" applyNumberFormat="1" applyFont="1" applyFill="1" applyBorder="1" applyAlignment="1">
      <alignment horizontal="center" vertical="center"/>
    </xf>
    <xf numFmtId="3" fontId="55" fillId="0" borderId="13" xfId="2" applyNumberFormat="1" applyFont="1" applyFill="1" applyBorder="1" applyAlignment="1">
      <alignment horizontal="center" vertical="center"/>
    </xf>
    <xf numFmtId="3" fontId="55" fillId="0" borderId="13" xfId="2" applyNumberFormat="1" applyFont="1" applyFill="1" applyBorder="1" applyAlignment="1">
      <alignment vertical="center"/>
    </xf>
    <xf numFmtId="1" fontId="55" fillId="0" borderId="15" xfId="2" applyNumberFormat="1" applyFont="1" applyFill="1" applyBorder="1" applyAlignment="1">
      <alignment vertical="center"/>
    </xf>
    <xf numFmtId="3" fontId="55" fillId="3" borderId="33" xfId="2" applyNumberFormat="1" applyFont="1" applyFill="1" applyBorder="1" applyAlignment="1">
      <alignment horizontal="center" vertical="center"/>
    </xf>
    <xf numFmtId="1" fontId="55" fillId="3" borderId="13" xfId="2" applyNumberFormat="1" applyFont="1" applyFill="1" applyBorder="1" applyAlignment="1">
      <alignment vertical="center"/>
    </xf>
    <xf numFmtId="3" fontId="55" fillId="3" borderId="105" xfId="2" applyNumberFormat="1" applyFont="1" applyFill="1" applyBorder="1" applyAlignment="1">
      <alignment horizontal="center" vertical="center"/>
    </xf>
    <xf numFmtId="3" fontId="55" fillId="3" borderId="90" xfId="2" applyNumberFormat="1" applyFont="1" applyFill="1" applyBorder="1" applyAlignment="1">
      <alignment horizontal="center" vertical="center"/>
    </xf>
    <xf numFmtId="3" fontId="56" fillId="0" borderId="0" xfId="2" applyNumberFormat="1" applyFont="1" applyFill="1" applyAlignment="1">
      <alignment horizontal="center" vertical="center"/>
    </xf>
    <xf numFmtId="3" fontId="57" fillId="0" borderId="0" xfId="2" applyNumberFormat="1" applyFont="1" applyFill="1" applyAlignment="1">
      <alignment vertical="center"/>
    </xf>
    <xf numFmtId="1" fontId="11" fillId="6" borderId="9" xfId="2" applyNumberFormat="1" applyFont="1" applyFill="1" applyBorder="1" applyAlignment="1">
      <alignment horizontal="right" vertical="center"/>
    </xf>
    <xf numFmtId="1" fontId="11" fillId="6" borderId="77" xfId="2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top" wrapText="1"/>
    </xf>
    <xf numFmtId="3" fontId="58" fillId="0" borderId="0" xfId="0" applyNumberFormat="1" applyFont="1" applyAlignment="1">
      <alignment horizontal="right" vertical="top" wrapText="1"/>
    </xf>
    <xf numFmtId="0" fontId="59" fillId="0" borderId="0" xfId="0" applyFont="1" applyAlignment="1">
      <alignment horizontal="left" vertical="top" wrapText="1"/>
    </xf>
    <xf numFmtId="3" fontId="59" fillId="0" borderId="0" xfId="0" applyNumberFormat="1" applyFont="1" applyAlignment="1">
      <alignment horizontal="right" vertical="top" wrapText="1"/>
    </xf>
    <xf numFmtId="0" fontId="12" fillId="0" borderId="0" xfId="0" applyFont="1" applyFill="1" applyBorder="1" applyAlignment="1">
      <alignment vertical="center" shrinkToFit="1"/>
    </xf>
    <xf numFmtId="3" fontId="61" fillId="3" borderId="33" xfId="2" applyNumberFormat="1" applyFont="1" applyFill="1" applyBorder="1" applyAlignment="1">
      <alignment horizontal="center" vertical="center"/>
    </xf>
    <xf numFmtId="1" fontId="61" fillId="3" borderId="13" xfId="2" applyNumberFormat="1" applyFont="1" applyFill="1" applyBorder="1" applyAlignment="1">
      <alignment vertical="center"/>
    </xf>
    <xf numFmtId="1" fontId="61" fillId="3" borderId="13" xfId="2" applyNumberFormat="1" applyFont="1" applyFill="1" applyBorder="1" applyAlignment="1">
      <alignment horizontal="right" vertical="center"/>
    </xf>
    <xf numFmtId="1" fontId="62" fillId="9" borderId="13" xfId="2" applyNumberFormat="1" applyFont="1" applyFill="1" applyBorder="1" applyAlignment="1">
      <alignment horizontal="right" vertical="center"/>
    </xf>
    <xf numFmtId="3" fontId="19" fillId="9" borderId="13" xfId="2" applyNumberFormat="1" applyFont="1" applyFill="1" applyBorder="1" applyAlignment="1">
      <alignment horizontal="left"/>
    </xf>
    <xf numFmtId="3" fontId="19" fillId="9" borderId="13" xfId="2" applyNumberFormat="1" applyFont="1" applyFill="1" applyBorder="1" applyAlignment="1">
      <alignment horizontal="right" vertical="center"/>
    </xf>
    <xf numFmtId="3" fontId="19" fillId="9" borderId="13" xfId="2" applyNumberFormat="1" applyFont="1" applyFill="1" applyBorder="1" applyAlignment="1">
      <alignment vertical="center"/>
    </xf>
    <xf numFmtId="2" fontId="19" fillId="9" borderId="82" xfId="2" applyNumberFormat="1" applyFont="1" applyFill="1" applyBorder="1" applyAlignment="1">
      <alignment horizontal="right" vertical="center"/>
    </xf>
    <xf numFmtId="1" fontId="61" fillId="3" borderId="15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left"/>
    </xf>
    <xf numFmtId="3" fontId="18" fillId="3" borderId="16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vertical="center"/>
    </xf>
    <xf numFmtId="3" fontId="19" fillId="3" borderId="16" xfId="2" applyNumberFormat="1" applyFont="1" applyFill="1" applyBorder="1" applyAlignment="1">
      <alignment horizontal="right" vertical="center"/>
    </xf>
    <xf numFmtId="3" fontId="19" fillId="3" borderId="16" xfId="2" applyNumberFormat="1" applyFont="1" applyFill="1" applyBorder="1" applyAlignment="1">
      <alignment vertical="center"/>
    </xf>
    <xf numFmtId="4" fontId="19" fillId="3" borderId="86" xfId="2" applyNumberFormat="1" applyFont="1" applyFill="1" applyBorder="1" applyAlignment="1">
      <alignment horizontal="right" vertical="center"/>
    </xf>
    <xf numFmtId="3" fontId="61" fillId="3" borderId="92" xfId="2" applyNumberFormat="1" applyFont="1" applyFill="1" applyBorder="1" applyAlignment="1">
      <alignment horizontal="center" vertical="center"/>
    </xf>
    <xf numFmtId="3" fontId="61" fillId="3" borderId="15" xfId="2" applyNumberFormat="1" applyFont="1" applyFill="1" applyBorder="1" applyAlignment="1">
      <alignment horizontal="center" vertical="center"/>
    </xf>
    <xf numFmtId="3" fontId="61" fillId="0" borderId="15" xfId="2" applyNumberFormat="1" applyFont="1" applyFill="1" applyBorder="1" applyAlignment="1">
      <alignment horizontal="center" vertical="center"/>
    </xf>
    <xf numFmtId="1" fontId="61" fillId="0" borderId="15" xfId="2" applyNumberFormat="1" applyFont="1" applyFill="1" applyBorder="1" applyAlignment="1">
      <alignment vertical="center"/>
    </xf>
    <xf numFmtId="1" fontId="61" fillId="0" borderId="15" xfId="2" applyNumberFormat="1" applyFont="1" applyFill="1" applyBorder="1" applyAlignment="1">
      <alignment horizontal="right" vertical="center"/>
    </xf>
    <xf numFmtId="3" fontId="61" fillId="3" borderId="89" xfId="2" applyNumberFormat="1" applyFont="1" applyFill="1" applyBorder="1" applyAlignment="1">
      <alignment horizontal="center" vertical="center"/>
    </xf>
    <xf numFmtId="3" fontId="61" fillId="3" borderId="14" xfId="2" applyNumberFormat="1" applyFont="1" applyFill="1" applyBorder="1" applyAlignment="1">
      <alignment horizontal="center" vertical="center"/>
    </xf>
    <xf numFmtId="1" fontId="61" fillId="3" borderId="14" xfId="2" applyNumberFormat="1" applyFont="1" applyFill="1" applyBorder="1" applyAlignment="1">
      <alignment horizontal="right" vertical="center"/>
    </xf>
    <xf numFmtId="1" fontId="63" fillId="0" borderId="13" xfId="2" applyNumberFormat="1" applyFont="1" applyFill="1" applyBorder="1" applyAlignment="1">
      <alignment horizontal="right" vertical="center"/>
    </xf>
    <xf numFmtId="1" fontId="63" fillId="0" borderId="15" xfId="2" applyNumberFormat="1" applyFont="1" applyFill="1" applyBorder="1" applyAlignment="1">
      <alignment horizontal="right" vertical="center"/>
    </xf>
    <xf numFmtId="3" fontId="61" fillId="3" borderId="0" xfId="2" applyNumberFormat="1" applyFont="1" applyFill="1" applyBorder="1" applyAlignment="1">
      <alignment horizontal="center" vertical="center"/>
    </xf>
    <xf numFmtId="1" fontId="61" fillId="3" borderId="15" xfId="2" applyNumberFormat="1" applyFont="1" applyFill="1" applyBorder="1" applyAlignment="1">
      <alignment vertical="center"/>
    </xf>
    <xf numFmtId="3" fontId="61" fillId="3" borderId="55" xfId="2" applyNumberFormat="1" applyFont="1" applyFill="1" applyBorder="1" applyAlignment="1">
      <alignment horizontal="center" vertical="center"/>
    </xf>
    <xf numFmtId="3" fontId="9" fillId="3" borderId="16" xfId="2" applyNumberFormat="1" applyFont="1" applyFill="1" applyBorder="1" applyAlignment="1">
      <alignment horizontal="center" vertical="center"/>
    </xf>
    <xf numFmtId="1" fontId="9" fillId="3" borderId="16" xfId="2" applyNumberFormat="1" applyFont="1" applyFill="1" applyBorder="1" applyAlignment="1">
      <alignment horizontal="right" vertical="center"/>
    </xf>
    <xf numFmtId="3" fontId="61" fillId="9" borderId="96" xfId="2" applyNumberFormat="1" applyFont="1" applyFill="1" applyBorder="1" applyAlignment="1">
      <alignment horizontal="center" vertical="center"/>
    </xf>
    <xf numFmtId="3" fontId="61" fillId="9" borderId="12" xfId="2" applyNumberFormat="1" applyFont="1" applyFill="1" applyBorder="1" applyAlignment="1">
      <alignment horizontal="center" vertical="center"/>
    </xf>
    <xf numFmtId="1" fontId="61" fillId="9" borderId="12" xfId="2" applyNumberFormat="1" applyFont="1" applyFill="1" applyBorder="1" applyAlignment="1">
      <alignment horizontal="right" vertical="center"/>
    </xf>
    <xf numFmtId="3" fontId="61" fillId="9" borderId="81" xfId="2" applyNumberFormat="1" applyFont="1" applyFill="1" applyBorder="1" applyAlignment="1">
      <alignment horizontal="center" vertical="center"/>
    </xf>
    <xf numFmtId="3" fontId="61" fillId="9" borderId="13" xfId="2" applyNumberFormat="1" applyFont="1" applyFill="1" applyBorder="1" applyAlignment="1">
      <alignment horizontal="center" vertical="center"/>
    </xf>
    <xf numFmtId="1" fontId="61" fillId="9" borderId="13" xfId="2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shrinkToFit="1"/>
    </xf>
    <xf numFmtId="42" fontId="14" fillId="0" borderId="0" xfId="0" applyNumberFormat="1" applyFont="1" applyFill="1" applyBorder="1" applyAlignment="1">
      <alignment vertical="center" shrinkToFit="1"/>
    </xf>
    <xf numFmtId="3" fontId="61" fillId="3" borderId="94" xfId="2" applyNumberFormat="1" applyFont="1" applyFill="1" applyBorder="1" applyAlignment="1">
      <alignment horizontal="center" vertical="center"/>
    </xf>
    <xf numFmtId="0" fontId="23" fillId="0" borderId="15" xfId="0" applyFont="1" applyBorder="1"/>
    <xf numFmtId="3" fontId="61" fillId="9" borderId="15" xfId="2" applyNumberFormat="1" applyFont="1" applyFill="1" applyBorder="1" applyAlignment="1">
      <alignment horizontal="center" vertical="center"/>
    </xf>
    <xf numFmtId="1" fontId="61" fillId="9" borderId="10" xfId="2" applyNumberFormat="1" applyFont="1" applyFill="1" applyBorder="1" applyAlignment="1">
      <alignment horizontal="right" vertical="center"/>
    </xf>
    <xf numFmtId="1" fontId="62" fillId="3" borderId="6" xfId="2" applyNumberFormat="1" applyFont="1" applyFill="1" applyBorder="1" applyAlignment="1">
      <alignment horizontal="center" vertical="center" wrapText="1"/>
    </xf>
    <xf numFmtId="1" fontId="62" fillId="3" borderId="91" xfId="2" applyNumberFormat="1" applyFont="1" applyFill="1" applyBorder="1" applyAlignment="1">
      <alignment horizontal="center" vertical="center" wrapText="1"/>
    </xf>
    <xf numFmtId="1" fontId="62" fillId="3" borderId="94" xfId="2" applyNumberFormat="1" applyFont="1" applyFill="1" applyBorder="1" applyAlignment="1">
      <alignment horizontal="center" vertical="center" wrapText="1"/>
    </xf>
    <xf numFmtId="1" fontId="62" fillId="3" borderId="33" xfId="2" applyNumberFormat="1" applyFont="1" applyFill="1" applyBorder="1" applyAlignment="1">
      <alignment horizontal="center" vertical="center" wrapText="1"/>
    </xf>
    <xf numFmtId="3" fontId="24" fillId="0" borderId="20" xfId="0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vertical="center" shrinkToFit="1"/>
    </xf>
    <xf numFmtId="1" fontId="62" fillId="6" borderId="36" xfId="2" applyNumberFormat="1" applyFont="1" applyFill="1" applyBorder="1" applyAlignment="1">
      <alignment horizontal="center" vertical="center" wrapText="1"/>
    </xf>
    <xf numFmtId="1" fontId="62" fillId="6" borderId="77" xfId="2" applyNumberFormat="1" applyFont="1" applyFill="1" applyBorder="1" applyAlignment="1">
      <alignment horizontal="center" vertical="center" wrapText="1"/>
    </xf>
    <xf numFmtId="1" fontId="10" fillId="6" borderId="5" xfId="2" applyNumberFormat="1" applyFont="1" applyFill="1" applyBorder="1" applyAlignment="1">
      <alignment horizontal="right" vertical="center"/>
    </xf>
    <xf numFmtId="3" fontId="54" fillId="0" borderId="98" xfId="2" applyNumberFormat="1" applyFont="1" applyFill="1" applyBorder="1" applyAlignment="1">
      <alignment horizontal="center" vertical="center"/>
    </xf>
    <xf numFmtId="3" fontId="52" fillId="0" borderId="18" xfId="2" applyNumberFormat="1" applyFont="1" applyFill="1" applyBorder="1" applyAlignment="1">
      <alignment vertical="center"/>
    </xf>
    <xf numFmtId="1" fontId="10" fillId="6" borderId="116" xfId="2" applyNumberFormat="1" applyFont="1" applyFill="1" applyBorder="1" applyAlignment="1">
      <alignment horizontal="right" vertical="center"/>
    </xf>
    <xf numFmtId="1" fontId="11" fillId="6" borderId="116" xfId="2" applyNumberFormat="1" applyFont="1" applyFill="1" applyBorder="1" applyAlignment="1">
      <alignment horizontal="right" vertical="center"/>
    </xf>
    <xf numFmtId="1" fontId="11" fillId="0" borderId="15" xfId="2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3" fontId="24" fillId="3" borderId="0" xfId="0" applyNumberFormat="1" applyFont="1" applyFill="1" applyBorder="1" applyAlignment="1">
      <alignment horizontal="right" vertical="center"/>
    </xf>
    <xf numFmtId="1" fontId="61" fillId="0" borderId="90" xfId="2" applyNumberFormat="1" applyFont="1" applyFill="1" applyBorder="1" applyAlignment="1">
      <alignment vertical="center"/>
    </xf>
    <xf numFmtId="1" fontId="61" fillId="0" borderId="75" xfId="2" applyNumberFormat="1" applyFont="1" applyFill="1" applyBorder="1" applyAlignment="1">
      <alignment horizontal="right" vertical="center"/>
    </xf>
    <xf numFmtId="3" fontId="18" fillId="3" borderId="77" xfId="2" applyNumberFormat="1" applyFont="1" applyFill="1" applyBorder="1" applyAlignment="1">
      <alignment horizontal="right" vertical="center"/>
    </xf>
    <xf numFmtId="3" fontId="18" fillId="3" borderId="77" xfId="2" applyNumberFormat="1" applyFont="1" applyFill="1" applyBorder="1" applyAlignment="1">
      <alignment vertical="center"/>
    </xf>
    <xf numFmtId="3" fontId="19" fillId="3" borderId="77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vertical="center"/>
    </xf>
    <xf numFmtId="4" fontId="19" fillId="3" borderId="78" xfId="2" applyNumberFormat="1" applyFont="1" applyFill="1" applyBorder="1" applyAlignment="1">
      <alignment horizontal="right" vertical="center"/>
    </xf>
    <xf numFmtId="3" fontId="55" fillId="0" borderId="90" xfId="2" applyNumberFormat="1" applyFont="1" applyFill="1" applyBorder="1" applyAlignment="1">
      <alignment vertical="center"/>
    </xf>
    <xf numFmtId="1" fontId="61" fillId="9" borderId="16" xfId="2" applyNumberFormat="1" applyFont="1" applyFill="1" applyBorder="1" applyAlignment="1">
      <alignment horizontal="right" vertical="center"/>
    </xf>
    <xf numFmtId="3" fontId="19" fillId="3" borderId="77" xfId="2" applyNumberFormat="1" applyFont="1" applyFill="1" applyBorder="1" applyAlignment="1">
      <alignment horizontal="left"/>
    </xf>
    <xf numFmtId="1" fontId="61" fillId="3" borderId="90" xfId="2" applyNumberFormat="1" applyFont="1" applyFill="1" applyBorder="1" applyAlignment="1">
      <alignment vertical="center"/>
    </xf>
    <xf numFmtId="1" fontId="61" fillId="9" borderId="84" xfId="2" applyNumberFormat="1" applyFont="1" applyFill="1" applyBorder="1" applyAlignment="1">
      <alignment vertical="center"/>
    </xf>
    <xf numFmtId="1" fontId="61" fillId="3" borderId="111" xfId="2" applyNumberFormat="1" applyFont="1" applyFill="1" applyBorder="1" applyAlignment="1">
      <alignment horizontal="right" vertical="center"/>
    </xf>
    <xf numFmtId="1" fontId="61" fillId="9" borderId="74" xfId="2" applyNumberFormat="1" applyFont="1" applyFill="1" applyBorder="1" applyAlignment="1">
      <alignment horizontal="right" vertical="center"/>
    </xf>
    <xf numFmtId="3" fontId="61" fillId="3" borderId="90" xfId="2" applyNumberFormat="1" applyFont="1" applyFill="1" applyBorder="1" applyAlignment="1">
      <alignment horizontal="center" vertical="center"/>
    </xf>
    <xf numFmtId="1" fontId="61" fillId="3" borderId="16" xfId="2" applyNumberFormat="1" applyFont="1" applyFill="1" applyBorder="1" applyAlignment="1">
      <alignment horizontal="right" vertical="center"/>
    </xf>
    <xf numFmtId="1" fontId="62" fillId="3" borderId="75" xfId="2" applyNumberFormat="1" applyFont="1" applyFill="1" applyBorder="1" applyAlignment="1">
      <alignment horizontal="right" vertical="center"/>
    </xf>
    <xf numFmtId="3" fontId="61" fillId="3" borderId="30" xfId="2" applyNumberFormat="1" applyFont="1" applyFill="1" applyBorder="1" applyAlignment="1">
      <alignment horizontal="center" vertical="center"/>
    </xf>
    <xf numFmtId="1" fontId="61" fillId="0" borderId="16" xfId="2" applyNumberFormat="1" applyFont="1" applyFill="1" applyBorder="1" applyAlignment="1">
      <alignment horizontal="right" vertical="center"/>
    </xf>
    <xf numFmtId="1" fontId="61" fillId="3" borderId="75" xfId="2" applyNumberFormat="1" applyFont="1" applyFill="1" applyBorder="1" applyAlignment="1">
      <alignment horizontal="right" vertical="center"/>
    </xf>
    <xf numFmtId="3" fontId="12" fillId="3" borderId="0" xfId="2" applyNumberFormat="1" applyFont="1" applyFill="1" applyAlignment="1">
      <alignment vertical="center"/>
    </xf>
    <xf numFmtId="3" fontId="66" fillId="0" borderId="1" xfId="2" applyNumberFormat="1" applyFont="1" applyFill="1" applyBorder="1" applyAlignment="1">
      <alignment horizontal="right" vertical="center"/>
    </xf>
    <xf numFmtId="3" fontId="66" fillId="0" borderId="0" xfId="2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 shrinkToFit="1"/>
    </xf>
    <xf numFmtId="3" fontId="62" fillId="4" borderId="17" xfId="2" applyNumberFormat="1" applyFont="1" applyFill="1" applyBorder="1" applyAlignment="1">
      <alignment vertical="center"/>
    </xf>
    <xf numFmtId="3" fontId="62" fillId="4" borderId="22" xfId="2" applyNumberFormat="1" applyFont="1" applyFill="1" applyBorder="1" applyAlignment="1">
      <alignment vertical="center"/>
    </xf>
    <xf numFmtId="1" fontId="11" fillId="0" borderId="13" xfId="2" applyNumberFormat="1" applyFont="1" applyFill="1" applyBorder="1" applyAlignment="1">
      <alignment horizontal="right" vertical="center"/>
    </xf>
    <xf numFmtId="1" fontId="11" fillId="6" borderId="117" xfId="2" applyNumberFormat="1" applyFont="1" applyFill="1" applyBorder="1" applyAlignment="1">
      <alignment horizontal="right" vertical="center"/>
    </xf>
    <xf numFmtId="3" fontId="23" fillId="0" borderId="19" xfId="0" applyNumberFormat="1" applyFont="1" applyFill="1" applyBorder="1" applyAlignment="1">
      <alignment horizontal="center" vertical="center" shrinkToFit="1"/>
    </xf>
    <xf numFmtId="0" fontId="60" fillId="0" borderId="15" xfId="0" applyFont="1" applyFill="1" applyBorder="1" applyAlignment="1">
      <alignment horizontal="center" vertical="center" shrinkToFit="1"/>
    </xf>
    <xf numFmtId="49" fontId="24" fillId="0" borderId="15" xfId="0" applyNumberFormat="1" applyFont="1" applyFill="1" applyBorder="1" applyAlignment="1">
      <alignment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left" vertical="center" shrinkToFit="1"/>
    </xf>
    <xf numFmtId="0" fontId="24" fillId="8" borderId="15" xfId="0" applyFont="1" applyFill="1" applyBorder="1" applyAlignment="1">
      <alignment horizontal="left" vertical="center" shrinkToFit="1"/>
    </xf>
    <xf numFmtId="0" fontId="30" fillId="3" borderId="15" xfId="0" applyFont="1" applyFill="1" applyBorder="1" applyAlignment="1">
      <alignment horizontal="left" vertical="center" shrinkToFit="1"/>
    </xf>
    <xf numFmtId="0" fontId="60" fillId="7" borderId="15" xfId="0" applyFont="1" applyFill="1" applyBorder="1" applyAlignment="1">
      <alignment vertical="center" shrinkToFit="1"/>
    </xf>
    <xf numFmtId="1" fontId="18" fillId="7" borderId="15" xfId="0" applyNumberFormat="1" applyFont="1" applyFill="1" applyBorder="1" applyAlignment="1">
      <alignment horizontal="center" vertical="center" shrinkToFit="1"/>
    </xf>
    <xf numFmtId="49" fontId="24" fillId="7" borderId="15" xfId="0" applyNumberFormat="1" applyFont="1" applyFill="1" applyBorder="1" applyAlignment="1">
      <alignment vertical="center" shrinkToFit="1"/>
    </xf>
    <xf numFmtId="49" fontId="30" fillId="0" borderId="15" xfId="0" applyNumberFormat="1" applyFont="1" applyFill="1" applyBorder="1" applyAlignment="1">
      <alignment vertical="center" shrinkToFit="1"/>
    </xf>
    <xf numFmtId="49" fontId="48" fillId="8" borderId="15" xfId="0" applyNumberFormat="1" applyFont="1" applyFill="1" applyBorder="1" applyAlignment="1">
      <alignment vertical="center" shrinkToFit="1"/>
    </xf>
    <xf numFmtId="49" fontId="30" fillId="3" borderId="15" xfId="0" applyNumberFormat="1" applyFont="1" applyFill="1" applyBorder="1" applyAlignment="1">
      <alignment vertical="center" shrinkToFit="1"/>
    </xf>
    <xf numFmtId="1" fontId="18" fillId="0" borderId="15" xfId="0" applyNumberFormat="1" applyFont="1" applyFill="1" applyBorder="1" applyAlignment="1">
      <alignment horizontal="center" vertical="center" shrinkToFit="1"/>
    </xf>
    <xf numFmtId="49" fontId="30" fillId="0" borderId="15" xfId="0" quotePrefix="1" applyNumberFormat="1" applyFont="1" applyFill="1" applyBorder="1" applyAlignment="1">
      <alignment vertical="center" shrinkToFit="1"/>
    </xf>
    <xf numFmtId="49" fontId="48" fillId="10" borderId="15" xfId="0" applyNumberFormat="1" applyFont="1" applyFill="1" applyBorder="1" applyAlignment="1">
      <alignment vertical="center" shrinkToFit="1"/>
    </xf>
    <xf numFmtId="49" fontId="24" fillId="0" borderId="15" xfId="0" applyNumberFormat="1" applyFont="1" applyFill="1" applyBorder="1" applyAlignment="1">
      <alignment vertical="center" wrapText="1"/>
    </xf>
    <xf numFmtId="0" fontId="19" fillId="7" borderId="15" xfId="0" applyFont="1" applyFill="1" applyBorder="1" applyAlignment="1">
      <alignment horizontal="center" vertical="center" shrinkToFit="1"/>
    </xf>
    <xf numFmtId="0" fontId="19" fillId="3" borderId="15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49" fontId="65" fillId="7" borderId="15" xfId="0" applyNumberFormat="1" applyFont="1" applyFill="1" applyBorder="1" applyAlignment="1">
      <alignment vertical="center" shrinkToFit="1"/>
    </xf>
    <xf numFmtId="49" fontId="65" fillId="0" borderId="15" xfId="0" applyNumberFormat="1" applyFont="1" applyFill="1" applyBorder="1" applyAlignment="1">
      <alignment vertical="center" shrinkToFit="1"/>
    </xf>
    <xf numFmtId="0" fontId="18" fillId="7" borderId="15" xfId="0" applyFont="1" applyFill="1" applyBorder="1"/>
    <xf numFmtId="49" fontId="23" fillId="0" borderId="15" xfId="0" applyNumberFormat="1" applyFont="1" applyFill="1" applyBorder="1" applyAlignment="1">
      <alignment vertical="center" shrinkToFit="1"/>
    </xf>
    <xf numFmtId="49" fontId="30" fillId="0" borderId="15" xfId="0" applyNumberFormat="1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shrinkToFit="1"/>
    </xf>
    <xf numFmtId="49" fontId="18" fillId="0" borderId="15" xfId="0" applyNumberFormat="1" applyFont="1" applyFill="1" applyBorder="1" applyAlignment="1">
      <alignment horizontal="left" vertical="center" indent="1" shrinkToFit="1"/>
    </xf>
    <xf numFmtId="1" fontId="19" fillId="0" borderId="15" xfId="0" applyNumberFormat="1" applyFont="1" applyFill="1" applyBorder="1" applyAlignment="1">
      <alignment horizontal="center" vertical="center" shrinkToFit="1"/>
    </xf>
    <xf numFmtId="0" fontId="30" fillId="0" borderId="15" xfId="0" applyFont="1" applyBorder="1"/>
    <xf numFmtId="1" fontId="18" fillId="0" borderId="15" xfId="0" quotePrefix="1" applyNumberFormat="1" applyFont="1" applyFill="1" applyBorder="1" applyAlignment="1">
      <alignment horizontal="center" vertical="center" shrinkToFit="1"/>
    </xf>
    <xf numFmtId="49" fontId="23" fillId="0" borderId="15" xfId="0" applyNumberFormat="1" applyFont="1" applyFill="1" applyBorder="1" applyAlignment="1">
      <alignment horizontal="justify" vertical="center" shrinkToFit="1"/>
    </xf>
    <xf numFmtId="49" fontId="64" fillId="0" borderId="15" xfId="0" applyNumberFormat="1" applyFont="1" applyFill="1" applyBorder="1" applyAlignment="1">
      <alignment horizontal="center" vertical="center" shrinkToFit="1"/>
    </xf>
    <xf numFmtId="3" fontId="24" fillId="0" borderId="85" xfId="0" applyNumberFormat="1" applyFont="1" applyFill="1" applyBorder="1" applyAlignment="1">
      <alignment horizontal="right" vertical="center" shrinkToFit="1"/>
    </xf>
    <xf numFmtId="3" fontId="24" fillId="8" borderId="85" xfId="0" applyNumberFormat="1" applyFont="1" applyFill="1" applyBorder="1" applyAlignment="1">
      <alignment horizontal="right" vertical="center" shrinkToFit="1"/>
    </xf>
    <xf numFmtId="3" fontId="23" fillId="3" borderId="85" xfId="0" applyNumberFormat="1" applyFont="1" applyFill="1" applyBorder="1" applyAlignment="1">
      <alignment horizontal="right" vertical="center" shrinkToFit="1"/>
    </xf>
    <xf numFmtId="3" fontId="24" fillId="7" borderId="85" xfId="0" applyNumberFormat="1" applyFont="1" applyFill="1" applyBorder="1" applyAlignment="1">
      <alignment horizontal="right" vertical="center" shrinkToFit="1"/>
    </xf>
    <xf numFmtId="3" fontId="23" fillId="0" borderId="85" xfId="0" applyNumberFormat="1" applyFont="1" applyFill="1" applyBorder="1" applyAlignment="1">
      <alignment horizontal="right" vertical="center" shrinkToFit="1"/>
    </xf>
    <xf numFmtId="41" fontId="23" fillId="0" borderId="85" xfId="0" applyNumberFormat="1" applyFont="1" applyBorder="1"/>
    <xf numFmtId="3" fontId="23" fillId="8" borderId="85" xfId="0" applyNumberFormat="1" applyFont="1" applyFill="1" applyBorder="1" applyAlignment="1">
      <alignment horizontal="right" vertical="center" shrinkToFit="1"/>
    </xf>
    <xf numFmtId="3" fontId="23" fillId="10" borderId="85" xfId="0" applyNumberFormat="1" applyFont="1" applyFill="1" applyBorder="1" applyAlignment="1">
      <alignment horizontal="right" vertical="center" shrinkToFit="1"/>
    </xf>
    <xf numFmtId="3" fontId="23" fillId="7" borderId="85" xfId="0" applyNumberFormat="1" applyFont="1" applyFill="1" applyBorder="1" applyAlignment="1">
      <alignment horizontal="right" vertical="center" shrinkToFit="1"/>
    </xf>
    <xf numFmtId="0" fontId="14" fillId="0" borderId="85" xfId="0" applyFont="1" applyFill="1" applyBorder="1" applyAlignment="1">
      <alignment vertical="center" shrinkToFit="1"/>
    </xf>
    <xf numFmtId="3" fontId="18" fillId="0" borderId="85" xfId="0" applyNumberFormat="1" applyFont="1" applyFill="1" applyBorder="1" applyAlignment="1">
      <alignment horizontal="right" vertical="center" shrinkToFit="1"/>
    </xf>
    <xf numFmtId="3" fontId="23" fillId="0" borderId="85" xfId="0" applyNumberFormat="1" applyFont="1" applyBorder="1"/>
    <xf numFmtId="0" fontId="60" fillId="0" borderId="14" xfId="0" applyFont="1" applyFill="1" applyBorder="1" applyAlignment="1">
      <alignment vertical="center" shrinkToFit="1"/>
    </xf>
    <xf numFmtId="0" fontId="60" fillId="0" borderId="14" xfId="0" applyFont="1" applyFill="1" applyBorder="1" applyAlignment="1">
      <alignment horizontal="center" vertical="center" shrinkToFit="1"/>
    </xf>
    <xf numFmtId="49" fontId="64" fillId="0" borderId="14" xfId="0" applyNumberFormat="1" applyFont="1" applyFill="1" applyBorder="1" applyAlignment="1">
      <alignment horizontal="center" vertical="center" shrinkToFit="1"/>
    </xf>
    <xf numFmtId="49" fontId="12" fillId="3" borderId="15" xfId="0" applyNumberFormat="1" applyFont="1" applyFill="1" applyBorder="1" applyAlignment="1">
      <alignment horizontal="center" vertical="center"/>
    </xf>
    <xf numFmtId="3" fontId="23" fillId="3" borderId="15" xfId="0" applyNumberFormat="1" applyFont="1" applyFill="1" applyBorder="1" applyAlignment="1">
      <alignment horizontal="right" vertical="center"/>
    </xf>
    <xf numFmtId="3" fontId="23" fillId="3" borderId="15" xfId="3" applyNumberFormat="1" applyFont="1" applyFill="1" applyBorder="1" applyAlignment="1">
      <alignment horizontal="left" vertical="center" wrapText="1"/>
    </xf>
    <xf numFmtId="3" fontId="12" fillId="3" borderId="15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>
      <alignment horizontal="center" vertical="center"/>
    </xf>
    <xf numFmtId="3" fontId="57" fillId="3" borderId="0" xfId="0" applyNumberFormat="1" applyFont="1" applyFill="1" applyAlignment="1">
      <alignment horizontal="center" vertical="center"/>
    </xf>
    <xf numFmtId="3" fontId="57" fillId="3" borderId="0" xfId="0" applyNumberFormat="1" applyFont="1" applyFill="1" applyBorder="1" applyAlignment="1">
      <alignment horizontal="center" vertical="center"/>
    </xf>
    <xf numFmtId="3" fontId="57" fillId="3" borderId="18" xfId="0" applyNumberFormat="1" applyFont="1" applyFill="1" applyBorder="1" applyAlignment="1">
      <alignment horizontal="center" vertical="center"/>
    </xf>
    <xf numFmtId="3" fontId="57" fillId="3" borderId="17" xfId="0" applyNumberFormat="1" applyFont="1" applyFill="1" applyBorder="1" applyAlignment="1">
      <alignment horizontal="center" vertical="center"/>
    </xf>
    <xf numFmtId="3" fontId="67" fillId="3" borderId="4" xfId="0" applyNumberFormat="1" applyFont="1" applyFill="1" applyBorder="1" applyAlignment="1">
      <alignment vertical="center"/>
    </xf>
    <xf numFmtId="3" fontId="69" fillId="9" borderId="15" xfId="0" applyNumberFormat="1" applyFont="1" applyFill="1" applyBorder="1" applyAlignment="1">
      <alignment horizontal="left" vertical="center"/>
    </xf>
    <xf numFmtId="3" fontId="69" fillId="3" borderId="15" xfId="0" applyNumberFormat="1" applyFont="1" applyFill="1" applyBorder="1" applyAlignment="1">
      <alignment horizontal="center" vertical="center"/>
    </xf>
    <xf numFmtId="3" fontId="68" fillId="3" borderId="15" xfId="0" applyNumberFormat="1" applyFont="1" applyFill="1" applyBorder="1" applyAlignment="1">
      <alignment horizontal="center" vertical="center"/>
    </xf>
    <xf numFmtId="3" fontId="69" fillId="9" borderId="15" xfId="0" applyNumberFormat="1" applyFont="1" applyFill="1" applyBorder="1" applyAlignment="1">
      <alignment horizontal="center" vertical="center"/>
    </xf>
    <xf numFmtId="3" fontId="56" fillId="7" borderId="15" xfId="0" applyNumberFormat="1" applyFont="1" applyFill="1" applyBorder="1" applyAlignment="1">
      <alignment horizontal="center" vertical="center"/>
    </xf>
    <xf numFmtId="3" fontId="56" fillId="3" borderId="15" xfId="0" applyNumberFormat="1" applyFont="1" applyFill="1" applyBorder="1" applyAlignment="1">
      <alignment horizontal="center" vertical="center"/>
    </xf>
    <xf numFmtId="3" fontId="69" fillId="7" borderId="15" xfId="0" applyNumberFormat="1" applyFont="1" applyFill="1" applyBorder="1" applyAlignment="1">
      <alignment horizontal="center" vertical="center"/>
    </xf>
    <xf numFmtId="3" fontId="68" fillId="9" borderId="15" xfId="0" applyNumberFormat="1" applyFont="1" applyFill="1" applyBorder="1" applyAlignment="1">
      <alignment horizontal="center" vertical="center"/>
    </xf>
    <xf numFmtId="3" fontId="67" fillId="9" borderId="15" xfId="0" applyNumberFormat="1" applyFont="1" applyFill="1" applyBorder="1" applyAlignment="1">
      <alignment horizontal="center" vertical="center"/>
    </xf>
    <xf numFmtId="3" fontId="67" fillId="3" borderId="15" xfId="0" applyNumberFormat="1" applyFont="1" applyFill="1" applyBorder="1" applyAlignment="1">
      <alignment horizontal="center" vertical="center"/>
    </xf>
    <xf numFmtId="3" fontId="57" fillId="0" borderId="0" xfId="0" applyNumberFormat="1" applyFont="1" applyFill="1" applyAlignment="1">
      <alignment horizontal="center" vertical="center"/>
    </xf>
    <xf numFmtId="3" fontId="62" fillId="9" borderId="81" xfId="2" applyNumberFormat="1" applyFont="1" applyFill="1" applyBorder="1" applyAlignment="1">
      <alignment horizontal="center" vertical="center"/>
    </xf>
    <xf numFmtId="3" fontId="62" fillId="9" borderId="13" xfId="2" applyNumberFormat="1" applyFont="1" applyFill="1" applyBorder="1" applyAlignment="1">
      <alignment horizontal="center" vertical="center"/>
    </xf>
    <xf numFmtId="3" fontId="10" fillId="6" borderId="116" xfId="2" applyNumberFormat="1" applyFont="1" applyFill="1" applyBorder="1" applyAlignment="1">
      <alignment horizontal="center" vertical="center"/>
    </xf>
    <xf numFmtId="3" fontId="10" fillId="6" borderId="76" xfId="2" applyNumberFormat="1" applyFont="1" applyFill="1" applyBorder="1" applyAlignment="1">
      <alignment horizontal="center" vertical="center"/>
    </xf>
    <xf numFmtId="3" fontId="19" fillId="6" borderId="5" xfId="2" applyNumberFormat="1" applyFont="1" applyFill="1" applyBorder="1" applyAlignment="1">
      <alignment horizontal="left" vertical="center"/>
    </xf>
    <xf numFmtId="3" fontId="19" fillId="6" borderId="5" xfId="2" applyNumberFormat="1" applyFont="1" applyFill="1" applyBorder="1" applyAlignment="1">
      <alignment horizontal="center" vertical="center"/>
    </xf>
    <xf numFmtId="3" fontId="19" fillId="6" borderId="5" xfId="2" applyNumberFormat="1" applyFont="1" applyFill="1" applyBorder="1" applyAlignment="1">
      <alignment horizontal="center" vertical="center" wrapText="1"/>
    </xf>
    <xf numFmtId="4" fontId="19" fillId="6" borderId="21" xfId="2" applyNumberFormat="1" applyFont="1" applyFill="1" applyBorder="1" applyAlignment="1">
      <alignment horizontal="right" vertical="center"/>
    </xf>
    <xf numFmtId="3" fontId="10" fillId="6" borderId="118" xfId="2" applyNumberFormat="1" applyFont="1" applyFill="1" applyBorder="1" applyAlignment="1">
      <alignment horizontal="center" vertical="center"/>
    </xf>
    <xf numFmtId="3" fontId="70" fillId="6" borderId="77" xfId="2" applyNumberFormat="1" applyFont="1" applyFill="1" applyBorder="1" applyAlignment="1">
      <alignment horizontal="left" vertical="center" indent="2"/>
    </xf>
    <xf numFmtId="3" fontId="19" fillId="6" borderId="77" xfId="2" applyNumberFormat="1" applyFont="1" applyFill="1" applyBorder="1" applyAlignment="1">
      <alignment horizontal="center" vertical="center"/>
    </xf>
    <xf numFmtId="3" fontId="19" fillId="6" borderId="77" xfId="2" applyNumberFormat="1" applyFont="1" applyFill="1" applyBorder="1" applyAlignment="1">
      <alignment horizontal="center" vertical="center" wrapText="1"/>
    </xf>
    <xf numFmtId="3" fontId="41" fillId="6" borderId="77" xfId="0" applyNumberFormat="1" applyFont="1" applyFill="1" applyBorder="1" applyAlignment="1">
      <alignment horizontal="center" vertical="center" wrapText="1"/>
    </xf>
    <xf numFmtId="4" fontId="19" fillId="6" borderId="78" xfId="2" applyNumberFormat="1" applyFont="1" applyFill="1" applyBorder="1" applyAlignment="1">
      <alignment horizontal="right" vertical="center"/>
    </xf>
    <xf numFmtId="3" fontId="10" fillId="6" borderId="119" xfId="2" applyNumberFormat="1" applyFont="1" applyFill="1" applyBorder="1" applyAlignment="1">
      <alignment horizontal="center" vertical="center"/>
    </xf>
    <xf numFmtId="3" fontId="10" fillId="6" borderId="36" xfId="2" applyNumberFormat="1" applyFont="1" applyFill="1" applyBorder="1" applyAlignment="1">
      <alignment horizontal="center" vertical="center"/>
    </xf>
    <xf numFmtId="3" fontId="70" fillId="6" borderId="5" xfId="2" applyNumberFormat="1" applyFont="1" applyFill="1" applyBorder="1" applyAlignment="1">
      <alignment horizontal="left" vertical="center" indent="2"/>
    </xf>
    <xf numFmtId="3" fontId="41" fillId="6" borderId="5" xfId="0" applyNumberFormat="1" applyFont="1" applyFill="1" applyBorder="1" applyAlignment="1">
      <alignment horizontal="center" vertical="center" wrapText="1"/>
    </xf>
    <xf numFmtId="4" fontId="19" fillId="6" borderId="5" xfId="2" applyNumberFormat="1" applyFont="1" applyFill="1" applyBorder="1" applyAlignment="1">
      <alignment horizontal="right" vertical="center"/>
    </xf>
    <xf numFmtId="3" fontId="10" fillId="3" borderId="81" xfId="2" applyNumberFormat="1" applyFont="1" applyFill="1" applyBorder="1" applyAlignment="1">
      <alignment horizontal="center" vertical="center"/>
    </xf>
    <xf numFmtId="3" fontId="10" fillId="3" borderId="13" xfId="2" applyNumberFormat="1" applyFont="1" applyFill="1" applyBorder="1" applyAlignment="1">
      <alignment horizontal="center" vertical="center"/>
    </xf>
    <xf numFmtId="3" fontId="71" fillId="3" borderId="9" xfId="2" applyNumberFormat="1" applyFont="1" applyFill="1" applyBorder="1" applyAlignment="1">
      <alignment horizontal="left" vertical="center"/>
    </xf>
    <xf numFmtId="3" fontId="19" fillId="3" borderId="9" xfId="2" applyNumberFormat="1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center" vertical="center" wrapText="1"/>
    </xf>
    <xf numFmtId="3" fontId="72" fillId="3" borderId="9" xfId="0" applyNumberFormat="1" applyFont="1" applyFill="1" applyBorder="1" applyAlignment="1">
      <alignment horizontal="center" vertical="center" wrapText="1"/>
    </xf>
    <xf numFmtId="4" fontId="19" fillId="3" borderId="19" xfId="2" applyNumberFormat="1" applyFont="1" applyFill="1" applyBorder="1" applyAlignment="1">
      <alignment horizontal="right" vertical="center"/>
    </xf>
    <xf numFmtId="3" fontId="10" fillId="3" borderId="92" xfId="2" applyNumberFormat="1" applyFont="1" applyFill="1" applyBorder="1" applyAlignment="1">
      <alignment horizontal="center" vertical="center"/>
    </xf>
    <xf numFmtId="3" fontId="10" fillId="3" borderId="15" xfId="2" applyNumberFormat="1" applyFont="1" applyFill="1" applyBorder="1" applyAlignment="1">
      <alignment horizontal="center" vertical="center"/>
    </xf>
    <xf numFmtId="3" fontId="27" fillId="3" borderId="15" xfId="2" applyNumberFormat="1" applyFont="1" applyFill="1" applyBorder="1" applyAlignment="1">
      <alignment horizontal="left" vertical="center" indent="2"/>
    </xf>
    <xf numFmtId="3" fontId="18" fillId="3" borderId="16" xfId="2" applyNumberFormat="1" applyFont="1" applyFill="1" applyBorder="1" applyAlignment="1">
      <alignment horizontal="center" vertical="center"/>
    </xf>
    <xf numFmtId="3" fontId="18" fillId="3" borderId="16" xfId="2" applyNumberFormat="1" applyFont="1" applyFill="1" applyBorder="1" applyAlignment="1">
      <alignment horizontal="center" vertical="center" wrapText="1"/>
    </xf>
    <xf numFmtId="41" fontId="18" fillId="0" borderId="15" xfId="0" applyNumberFormat="1" applyFont="1" applyBorder="1" applyAlignment="1">
      <alignment horizontal="center" vertical="center"/>
    </xf>
    <xf numFmtId="3" fontId="19" fillId="3" borderId="16" xfId="2" applyNumberFormat="1" applyFont="1" applyFill="1" applyBorder="1" applyAlignment="1">
      <alignment horizontal="center" vertical="center" wrapText="1"/>
    </xf>
    <xf numFmtId="3" fontId="41" fillId="3" borderId="16" xfId="0" applyNumberFormat="1" applyFont="1" applyFill="1" applyBorder="1" applyAlignment="1">
      <alignment horizontal="center" vertical="center" wrapText="1"/>
    </xf>
    <xf numFmtId="3" fontId="19" fillId="3" borderId="15" xfId="2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/>
    </xf>
    <xf numFmtId="3" fontId="19" fillId="3" borderId="15" xfId="2" applyNumberFormat="1" applyFont="1" applyFill="1" applyBorder="1" applyAlignment="1">
      <alignment horizontal="center" vertical="center" wrapText="1"/>
    </xf>
    <xf numFmtId="3" fontId="41" fillId="3" borderId="15" xfId="0" applyNumberFormat="1" applyFont="1" applyFill="1" applyBorder="1" applyAlignment="1">
      <alignment horizontal="center" vertical="center" wrapText="1"/>
    </xf>
    <xf numFmtId="3" fontId="70" fillId="3" borderId="13" xfId="2" applyNumberFormat="1" applyFont="1" applyFill="1" applyBorder="1" applyAlignment="1">
      <alignment horizontal="left" vertical="center" indent="2"/>
    </xf>
    <xf numFmtId="4" fontId="19" fillId="3" borderId="85" xfId="2" applyNumberFormat="1" applyFont="1" applyFill="1" applyBorder="1" applyAlignment="1">
      <alignment horizontal="right" vertical="center"/>
    </xf>
    <xf numFmtId="3" fontId="33" fillId="3" borderId="15" xfId="2" applyNumberFormat="1" applyFont="1" applyFill="1" applyBorder="1" applyAlignment="1">
      <alignment horizontal="left" vertical="center" indent="1"/>
    </xf>
    <xf numFmtId="3" fontId="71" fillId="3" borderId="13" xfId="2" applyNumberFormat="1" applyFont="1" applyFill="1" applyBorder="1" applyAlignment="1">
      <alignment horizontal="center" vertical="center"/>
    </xf>
    <xf numFmtId="3" fontId="71" fillId="3" borderId="13" xfId="2" applyNumberFormat="1" applyFont="1" applyFill="1" applyBorder="1" applyAlignment="1">
      <alignment horizontal="center" vertical="center" wrapText="1"/>
    </xf>
    <xf numFmtId="3" fontId="19" fillId="3" borderId="13" xfId="2" applyNumberFormat="1" applyFont="1" applyFill="1" applyBorder="1" applyAlignment="1">
      <alignment horizontal="center" vertical="center"/>
    </xf>
    <xf numFmtId="3" fontId="19" fillId="3" borderId="13" xfId="2" applyNumberFormat="1" applyFont="1" applyFill="1" applyBorder="1" applyAlignment="1">
      <alignment horizontal="center" vertical="center" wrapText="1"/>
    </xf>
    <xf numFmtId="3" fontId="41" fillId="3" borderId="13" xfId="0" applyNumberFormat="1" applyFont="1" applyFill="1" applyBorder="1" applyAlignment="1">
      <alignment horizontal="center" vertical="center" wrapText="1"/>
    </xf>
    <xf numFmtId="4" fontId="19" fillId="3" borderId="82" xfId="2" applyNumberFormat="1" applyFont="1" applyFill="1" applyBorder="1" applyAlignment="1">
      <alignment horizontal="right" vertical="center"/>
    </xf>
    <xf numFmtId="3" fontId="33" fillId="3" borderId="13" xfId="2" applyNumberFormat="1" applyFont="1" applyFill="1" applyBorder="1" applyAlignment="1">
      <alignment horizontal="left" vertical="center" indent="1"/>
    </xf>
    <xf numFmtId="3" fontId="71" fillId="3" borderId="15" xfId="2" applyNumberFormat="1" applyFont="1" applyFill="1" applyBorder="1" applyAlignment="1">
      <alignment horizontal="center" vertical="center"/>
    </xf>
    <xf numFmtId="3" fontId="71" fillId="3" borderId="15" xfId="2" applyNumberFormat="1" applyFont="1" applyFill="1" applyBorder="1" applyAlignment="1">
      <alignment horizontal="center" vertical="center" wrapText="1"/>
    </xf>
    <xf numFmtId="3" fontId="10" fillId="3" borderId="13" xfId="2" applyNumberFormat="1" applyFont="1" applyFill="1" applyBorder="1" applyAlignment="1">
      <alignment horizontal="left" vertical="center" wrapText="1"/>
    </xf>
    <xf numFmtId="4" fontId="19" fillId="3" borderId="20" xfId="2" applyNumberFormat="1" applyFont="1" applyFill="1" applyBorder="1" applyAlignment="1">
      <alignment horizontal="right" vertical="center"/>
    </xf>
    <xf numFmtId="3" fontId="10" fillId="3" borderId="89" xfId="2" applyNumberFormat="1" applyFont="1" applyFill="1" applyBorder="1" applyAlignment="1">
      <alignment horizontal="center" vertical="center"/>
    </xf>
    <xf numFmtId="3" fontId="10" fillId="3" borderId="14" xfId="2" applyNumberFormat="1" applyFont="1" applyFill="1" applyBorder="1" applyAlignment="1">
      <alignment horizontal="center" vertical="center"/>
    </xf>
    <xf numFmtId="3" fontId="18" fillId="3" borderId="15" xfId="2" applyNumberFormat="1" applyFont="1" applyFill="1" applyBorder="1" applyAlignment="1">
      <alignment horizontal="left" vertical="center" indent="1"/>
    </xf>
    <xf numFmtId="3" fontId="18" fillId="3" borderId="15" xfId="2" applyNumberFormat="1" applyFont="1" applyFill="1" applyBorder="1" applyAlignment="1">
      <alignment horizontal="center" vertical="center" wrapText="1"/>
    </xf>
    <xf numFmtId="3" fontId="19" fillId="3" borderId="5" xfId="2" applyNumberFormat="1" applyFont="1" applyFill="1" applyBorder="1" applyAlignment="1">
      <alignment horizontal="center" vertical="center"/>
    </xf>
    <xf numFmtId="4" fontId="19" fillId="3" borderId="88" xfId="2" applyNumberFormat="1" applyFont="1" applyFill="1" applyBorder="1" applyAlignment="1">
      <alignment horizontal="right" vertical="center"/>
    </xf>
    <xf numFmtId="3" fontId="23" fillId="3" borderId="15" xfId="0" applyNumberFormat="1" applyFont="1" applyFill="1" applyBorder="1" applyAlignment="1">
      <alignment horizontal="left" vertical="center"/>
    </xf>
    <xf numFmtId="3" fontId="70" fillId="3" borderId="15" xfId="2" applyNumberFormat="1" applyFont="1" applyFill="1" applyBorder="1" applyAlignment="1">
      <alignment horizontal="left" vertical="center" indent="2"/>
    </xf>
    <xf numFmtId="3" fontId="19" fillId="6" borderId="116" xfId="2" applyNumberFormat="1" applyFont="1" applyFill="1" applyBorder="1" applyAlignment="1">
      <alignment horizontal="left" vertical="center" wrapText="1" indent="1"/>
    </xf>
    <xf numFmtId="3" fontId="19" fillId="6" borderId="116" xfId="2" applyNumberFormat="1" applyFont="1" applyFill="1" applyBorder="1" applyAlignment="1">
      <alignment vertical="center"/>
    </xf>
    <xf numFmtId="3" fontId="19" fillId="6" borderId="116" xfId="2" applyNumberFormat="1" applyFont="1" applyFill="1" applyBorder="1" applyAlignment="1">
      <alignment horizontal="right" vertical="center"/>
    </xf>
    <xf numFmtId="4" fontId="19" fillId="6" borderId="83" xfId="2" applyNumberFormat="1" applyFont="1" applyFill="1" applyBorder="1" applyAlignment="1">
      <alignment horizontal="right" vertical="center"/>
    </xf>
    <xf numFmtId="3" fontId="71" fillId="6" borderId="116" xfId="2" applyNumberFormat="1" applyFont="1" applyFill="1" applyBorder="1" applyAlignment="1">
      <alignment horizontal="left" vertical="center" indent="2"/>
    </xf>
    <xf numFmtId="3" fontId="71" fillId="6" borderId="117" xfId="2" applyNumberFormat="1" applyFont="1" applyFill="1" applyBorder="1" applyAlignment="1">
      <alignment horizontal="left" vertical="center" indent="2"/>
    </xf>
    <xf numFmtId="3" fontId="19" fillId="6" borderId="117" xfId="2" applyNumberFormat="1" applyFont="1" applyFill="1" applyBorder="1" applyAlignment="1">
      <alignment vertical="center"/>
    </xf>
    <xf numFmtId="3" fontId="71" fillId="0" borderId="13" xfId="2" applyNumberFormat="1" applyFont="1" applyFill="1" applyBorder="1" applyAlignment="1">
      <alignment horizontal="left" vertical="center" indent="2"/>
    </xf>
    <xf numFmtId="3" fontId="19" fillId="0" borderId="13" xfId="2" applyNumberFormat="1" applyFont="1" applyFill="1" applyBorder="1" applyAlignment="1">
      <alignment vertical="center"/>
    </xf>
    <xf numFmtId="3" fontId="19" fillId="0" borderId="13" xfId="2" applyNumberFormat="1" applyFont="1" applyFill="1" applyBorder="1" applyAlignment="1">
      <alignment horizontal="right" vertical="center"/>
    </xf>
    <xf numFmtId="4" fontId="19" fillId="0" borderId="13" xfId="2" applyNumberFormat="1" applyFont="1" applyFill="1" applyBorder="1" applyAlignment="1">
      <alignment horizontal="right" vertical="center"/>
    </xf>
    <xf numFmtId="3" fontId="27" fillId="0" borderId="15" xfId="2" applyNumberFormat="1" applyFont="1" applyFill="1" applyBorder="1" applyAlignment="1">
      <alignment horizontal="left" vertical="center" indent="2"/>
    </xf>
    <xf numFmtId="3" fontId="19" fillId="0" borderId="15" xfId="2" applyNumberFormat="1" applyFont="1" applyFill="1" applyBorder="1" applyAlignment="1">
      <alignment vertical="center"/>
    </xf>
    <xf numFmtId="3" fontId="19" fillId="0" borderId="15" xfId="2" applyNumberFormat="1" applyFont="1" applyFill="1" applyBorder="1" applyAlignment="1">
      <alignment horizontal="right" vertical="center"/>
    </xf>
    <xf numFmtId="4" fontId="19" fillId="0" borderId="15" xfId="2" applyNumberFormat="1" applyFont="1" applyFill="1" applyBorder="1" applyAlignment="1">
      <alignment horizontal="right" vertical="center"/>
    </xf>
    <xf numFmtId="3" fontId="70" fillId="0" borderId="13" xfId="2" applyNumberFormat="1" applyFont="1" applyFill="1" applyBorder="1" applyAlignment="1">
      <alignment horizontal="left" vertical="center" indent="2"/>
    </xf>
    <xf numFmtId="3" fontId="71" fillId="0" borderId="15" xfId="2" applyNumberFormat="1" applyFont="1" applyFill="1" applyBorder="1" applyAlignment="1">
      <alignment horizontal="left" vertical="center" indent="2"/>
    </xf>
    <xf numFmtId="3" fontId="62" fillId="6" borderId="75" xfId="2" applyNumberFormat="1" applyFont="1" applyFill="1" applyBorder="1" applyAlignment="1">
      <alignment horizontal="center" vertical="center"/>
    </xf>
    <xf numFmtId="3" fontId="62" fillId="6" borderId="77" xfId="2" applyNumberFormat="1" applyFont="1" applyFill="1" applyBorder="1" applyAlignment="1">
      <alignment horizontal="center" vertical="center"/>
    </xf>
    <xf numFmtId="3" fontId="19" fillId="6" borderId="5" xfId="2" applyNumberFormat="1" applyFont="1" applyFill="1" applyBorder="1" applyAlignment="1">
      <alignment horizontal="left" vertical="center" indent="1"/>
    </xf>
    <xf numFmtId="3" fontId="19" fillId="6" borderId="5" xfId="2" applyNumberFormat="1" applyFont="1" applyFill="1" applyBorder="1" applyAlignment="1">
      <alignment horizontal="right" vertical="center"/>
    </xf>
    <xf numFmtId="3" fontId="19" fillId="6" borderId="5" xfId="2" applyNumberFormat="1" applyFont="1" applyFill="1" applyBorder="1" applyAlignment="1">
      <alignment vertical="center"/>
    </xf>
    <xf numFmtId="3" fontId="62" fillId="6" borderId="1" xfId="2" applyNumberFormat="1" applyFont="1" applyFill="1" applyBorder="1" applyAlignment="1">
      <alignment horizontal="center" vertical="center"/>
    </xf>
    <xf numFmtId="3" fontId="62" fillId="6" borderId="6" xfId="2" applyNumberFormat="1" applyFont="1" applyFill="1" applyBorder="1" applyAlignment="1">
      <alignment horizontal="center" vertical="center"/>
    </xf>
    <xf numFmtId="3" fontId="71" fillId="6" borderId="9" xfId="2" applyNumberFormat="1" applyFont="1" applyFill="1" applyBorder="1" applyAlignment="1">
      <alignment horizontal="left" vertical="center" indent="2"/>
    </xf>
    <xf numFmtId="3" fontId="19" fillId="6" borderId="9" xfId="2" applyNumberFormat="1" applyFont="1" applyFill="1" applyBorder="1" applyAlignment="1">
      <alignment horizontal="right" vertical="center"/>
    </xf>
    <xf numFmtId="3" fontId="19" fillId="6" borderId="9" xfId="2" applyNumberFormat="1" applyFont="1" applyFill="1" applyBorder="1" applyAlignment="1">
      <alignment vertical="center"/>
    </xf>
    <xf numFmtId="3" fontId="19" fillId="6" borderId="77" xfId="2" applyNumberFormat="1" applyFont="1" applyFill="1" applyBorder="1" applyAlignment="1">
      <alignment horizontal="right" vertical="center"/>
    </xf>
    <xf numFmtId="3" fontId="19" fillId="6" borderId="77" xfId="2" applyNumberFormat="1" applyFont="1" applyFill="1" applyBorder="1" applyAlignment="1">
      <alignment vertical="center"/>
    </xf>
    <xf numFmtId="4" fontId="19" fillId="6" borderId="20" xfId="2" applyNumberFormat="1" applyFont="1" applyFill="1" applyBorder="1" applyAlignment="1">
      <alignment horizontal="right" vertical="center"/>
    </xf>
    <xf numFmtId="3" fontId="62" fillId="6" borderId="98" xfId="2" applyNumberFormat="1" applyFont="1" applyFill="1" applyBorder="1" applyAlignment="1">
      <alignment horizontal="center" vertical="center"/>
    </xf>
    <xf numFmtId="3" fontId="62" fillId="6" borderId="99" xfId="2" applyNumberFormat="1" applyFont="1" applyFill="1" applyBorder="1" applyAlignment="1">
      <alignment horizontal="center" vertical="center"/>
    </xf>
    <xf numFmtId="3" fontId="71" fillId="6" borderId="77" xfId="2" applyNumberFormat="1" applyFont="1" applyFill="1" applyBorder="1" applyAlignment="1">
      <alignment horizontal="left" vertical="center" indent="2"/>
    </xf>
    <xf numFmtId="3" fontId="19" fillId="5" borderId="116" xfId="2" applyNumberFormat="1" applyFont="1" applyFill="1" applyBorder="1" applyAlignment="1">
      <alignment horizontal="right" vertical="center"/>
    </xf>
    <xf numFmtId="3" fontId="19" fillId="5" borderId="120" xfId="2" applyNumberFormat="1" applyFont="1" applyFill="1" applyBorder="1" applyAlignment="1">
      <alignment horizontal="right" vertical="center"/>
    </xf>
    <xf numFmtId="4" fontId="19" fillId="5" borderId="83" xfId="2" applyNumberFormat="1" applyFont="1" applyFill="1" applyBorder="1" applyAlignment="1">
      <alignment horizontal="right" vertical="center"/>
    </xf>
    <xf numFmtId="3" fontId="70" fillId="5" borderId="116" xfId="2" applyNumberFormat="1" applyFont="1" applyFill="1" applyBorder="1" applyAlignment="1">
      <alignment horizontal="right" vertical="center"/>
    </xf>
    <xf numFmtId="3" fontId="71" fillId="5" borderId="116" xfId="2" applyNumberFormat="1" applyFont="1" applyFill="1" applyBorder="1" applyAlignment="1">
      <alignment horizontal="right" vertical="center"/>
    </xf>
    <xf numFmtId="4" fontId="70" fillId="5" borderId="83" xfId="2" applyNumberFormat="1" applyFont="1" applyFill="1" applyBorder="1" applyAlignment="1">
      <alignment horizontal="right" vertical="center"/>
    </xf>
    <xf numFmtId="3" fontId="70" fillId="5" borderId="99" xfId="2" applyNumberFormat="1" applyFont="1" applyFill="1" applyBorder="1" applyAlignment="1">
      <alignment horizontal="right" vertical="center"/>
    </xf>
    <xf numFmtId="3" fontId="70" fillId="5" borderId="110" xfId="2" applyNumberFormat="1" applyFont="1" applyFill="1" applyBorder="1" applyAlignment="1">
      <alignment horizontal="right" vertical="center"/>
    </xf>
    <xf numFmtId="4" fontId="70" fillId="5" borderId="35" xfId="2" applyNumberFormat="1" applyFont="1" applyFill="1" applyBorder="1" applyAlignment="1">
      <alignment horizontal="right" vertical="center"/>
    </xf>
    <xf numFmtId="3" fontId="70" fillId="5" borderId="117" xfId="2" applyNumberFormat="1" applyFont="1" applyFill="1" applyBorder="1" applyAlignment="1">
      <alignment horizontal="right" vertical="center"/>
    </xf>
    <xf numFmtId="3" fontId="70" fillId="5" borderId="18" xfId="2" applyNumberFormat="1" applyFont="1" applyFill="1" applyBorder="1" applyAlignment="1">
      <alignment horizontal="right" vertical="center"/>
    </xf>
    <xf numFmtId="3" fontId="71" fillId="5" borderId="117" xfId="2" applyNumberFormat="1" applyFont="1" applyFill="1" applyBorder="1" applyAlignment="1">
      <alignment horizontal="right" vertical="center"/>
    </xf>
    <xf numFmtId="3" fontId="62" fillId="4" borderId="7" xfId="2" applyNumberFormat="1" applyFont="1" applyFill="1" applyBorder="1" applyAlignment="1">
      <alignment vertical="center"/>
    </xf>
    <xf numFmtId="3" fontId="70" fillId="4" borderId="10" xfId="2" applyNumberFormat="1" applyFont="1" applyFill="1" applyBorder="1" applyAlignment="1">
      <alignment horizontal="right" vertical="center"/>
    </xf>
    <xf numFmtId="3" fontId="70" fillId="4" borderId="9" xfId="2" applyNumberFormat="1" applyFont="1" applyFill="1" applyBorder="1" applyAlignment="1">
      <alignment horizontal="right" vertical="center"/>
    </xf>
    <xf numFmtId="3" fontId="71" fillId="4" borderId="9" xfId="2" applyNumberFormat="1" applyFont="1" applyFill="1" applyBorder="1" applyAlignment="1">
      <alignment horizontal="right" vertical="center"/>
    </xf>
    <xf numFmtId="4" fontId="70" fillId="4" borderId="20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horizontal="left"/>
    </xf>
    <xf numFmtId="3" fontId="18" fillId="3" borderId="15" xfId="2" applyNumberFormat="1" applyFont="1" applyFill="1" applyBorder="1" applyAlignment="1">
      <alignment horizontal="right" vertical="center"/>
    </xf>
    <xf numFmtId="3" fontId="18" fillId="3" borderId="15" xfId="2" applyNumberFormat="1" applyFont="1" applyFill="1" applyBorder="1" applyAlignment="1">
      <alignment vertical="center"/>
    </xf>
    <xf numFmtId="3" fontId="19" fillId="3" borderId="15" xfId="2" applyNumberFormat="1" applyFont="1" applyFill="1" applyBorder="1" applyAlignment="1">
      <alignment horizontal="right" vertical="center"/>
    </xf>
    <xf numFmtId="3" fontId="19" fillId="3" borderId="15" xfId="2" applyNumberFormat="1" applyFont="1" applyFill="1" applyBorder="1" applyAlignment="1">
      <alignment vertical="center"/>
    </xf>
    <xf numFmtId="3" fontId="61" fillId="3" borderId="105" xfId="2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 shrinkToFit="1"/>
    </xf>
    <xf numFmtId="41" fontId="15" fillId="0" borderId="0" xfId="0" applyNumberFormat="1" applyFont="1" applyFill="1" applyAlignment="1">
      <alignment vertical="center" shrinkToFit="1"/>
    </xf>
    <xf numFmtId="3" fontId="64" fillId="0" borderId="85" xfId="0" applyNumberFormat="1" applyFont="1" applyFill="1" applyBorder="1" applyAlignment="1">
      <alignment horizontal="right" vertical="center" shrinkToFit="1"/>
    </xf>
    <xf numFmtId="0" fontId="64" fillId="0" borderId="15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  <xf numFmtId="3" fontId="18" fillId="3" borderId="14" xfId="2" applyNumberFormat="1" applyFont="1" applyFill="1" applyBorder="1" applyAlignment="1">
      <alignment horizontal="right" vertical="center"/>
    </xf>
    <xf numFmtId="3" fontId="18" fillId="9" borderId="5" xfId="2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justify" vertical="center" shrinkToFit="1"/>
    </xf>
    <xf numFmtId="3" fontId="30" fillId="3" borderId="85" xfId="0" applyNumberFormat="1" applyFont="1" applyFill="1" applyBorder="1" applyAlignment="1">
      <alignment horizontal="right" vertical="center" shrinkToFit="1"/>
    </xf>
    <xf numFmtId="3" fontId="12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vertical="center"/>
    </xf>
    <xf numFmtId="3" fontId="23" fillId="3" borderId="0" xfId="0" applyNumberFormat="1" applyFont="1" applyFill="1" applyBorder="1" applyAlignment="1">
      <alignment horizontal="left" vertical="center"/>
    </xf>
    <xf numFmtId="3" fontId="12" fillId="3" borderId="18" xfId="0" applyNumberFormat="1" applyFont="1" applyFill="1" applyBorder="1" applyAlignment="1">
      <alignment horizontal="center" vertical="center"/>
    </xf>
    <xf numFmtId="3" fontId="23" fillId="3" borderId="18" xfId="0" applyNumberFormat="1" applyFont="1" applyFill="1" applyBorder="1" applyAlignment="1">
      <alignment vertical="center"/>
    </xf>
    <xf numFmtId="3" fontId="23" fillId="3" borderId="18" xfId="0" applyNumberFormat="1" applyFont="1" applyFill="1" applyBorder="1" applyAlignment="1">
      <alignment horizontal="left" vertical="center"/>
    </xf>
    <xf numFmtId="3" fontId="23" fillId="3" borderId="18" xfId="0" applyNumberFormat="1" applyFont="1" applyFill="1" applyBorder="1" applyAlignment="1">
      <alignment horizontal="right" vertical="center"/>
    </xf>
    <xf numFmtId="3" fontId="14" fillId="3" borderId="22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3" fontId="29" fillId="3" borderId="16" xfId="0" applyNumberFormat="1" applyFont="1" applyFill="1" applyBorder="1" applyAlignment="1">
      <alignment horizontal="center"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24" fillId="9" borderId="15" xfId="0" applyNumberFormat="1" applyFont="1" applyFill="1" applyBorder="1" applyAlignment="1">
      <alignment horizontal="right" vertical="center"/>
    </xf>
    <xf numFmtId="3" fontId="21" fillId="9" borderId="15" xfId="0" applyNumberFormat="1" applyFont="1" applyFill="1" applyBorder="1" applyAlignment="1">
      <alignment horizontal="left" vertical="center"/>
    </xf>
    <xf numFmtId="3" fontId="27" fillId="9" borderId="15" xfId="2" applyNumberFormat="1" applyFont="1" applyFill="1" applyBorder="1" applyAlignment="1">
      <alignment horizontal="left" vertical="center" indent="2"/>
    </xf>
    <xf numFmtId="3" fontId="70" fillId="9" borderId="15" xfId="2" applyNumberFormat="1" applyFont="1" applyFill="1" applyBorder="1" applyAlignment="1">
      <alignment horizontal="left" vertical="center" indent="2"/>
    </xf>
    <xf numFmtId="3" fontId="23" fillId="3" borderId="15" xfId="0" applyNumberFormat="1" applyFont="1" applyFill="1" applyBorder="1" applyAlignment="1">
      <alignment vertical="center"/>
    </xf>
    <xf numFmtId="3" fontId="29" fillId="3" borderId="15" xfId="0" applyNumberFormat="1" applyFont="1" applyFill="1" applyBorder="1" applyAlignment="1">
      <alignment horizontal="center" vertical="center"/>
    </xf>
    <xf numFmtId="3" fontId="48" fillId="3" borderId="15" xfId="0" applyNumberFormat="1" applyFont="1" applyFill="1" applyBorder="1" applyAlignment="1">
      <alignment horizontal="center" vertical="center"/>
    </xf>
    <xf numFmtId="3" fontId="21" fillId="9" borderId="15" xfId="0" applyNumberFormat="1" applyFont="1" applyFill="1" applyBorder="1" applyAlignment="1">
      <alignment horizontal="center" vertical="center"/>
    </xf>
    <xf numFmtId="3" fontId="12" fillId="7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horizontal="left" vertical="center"/>
    </xf>
    <xf numFmtId="3" fontId="23" fillId="7" borderId="15" xfId="0" applyNumberFormat="1" applyFont="1" applyFill="1" applyBorder="1" applyAlignment="1">
      <alignment horizontal="right" vertical="center"/>
    </xf>
    <xf numFmtId="3" fontId="27" fillId="7" borderId="15" xfId="2" applyNumberFormat="1" applyFont="1" applyFill="1" applyBorder="1" applyAlignment="1">
      <alignment horizontal="left" vertical="center" indent="2"/>
    </xf>
    <xf numFmtId="3" fontId="70" fillId="7" borderId="15" xfId="2" applyNumberFormat="1" applyFont="1" applyFill="1" applyBorder="1" applyAlignment="1">
      <alignment horizontal="left" vertical="center" indent="2"/>
    </xf>
    <xf numFmtId="3" fontId="23" fillId="3" borderId="15" xfId="0" applyNumberFormat="1" applyFont="1" applyFill="1" applyBorder="1" applyAlignment="1">
      <alignment horizontal="center" vertical="center"/>
    </xf>
    <xf numFmtId="3" fontId="23" fillId="7" borderId="15" xfId="0" applyNumberFormat="1" applyFont="1" applyFill="1" applyBorder="1" applyAlignment="1">
      <alignment vertical="center"/>
    </xf>
    <xf numFmtId="3" fontId="23" fillId="9" borderId="15" xfId="0" applyNumberFormat="1" applyFont="1" applyFill="1" applyBorder="1" applyAlignment="1">
      <alignment horizontal="right" vertical="center"/>
    </xf>
    <xf numFmtId="3" fontId="34" fillId="7" borderId="15" xfId="0" applyNumberFormat="1" applyFont="1" applyFill="1" applyBorder="1" applyAlignment="1">
      <alignment horizontal="center" vertical="center"/>
    </xf>
    <xf numFmtId="3" fontId="34" fillId="7" borderId="15" xfId="0" applyNumberFormat="1" applyFont="1" applyFill="1" applyBorder="1" applyAlignment="1">
      <alignment vertical="center"/>
    </xf>
    <xf numFmtId="3" fontId="24" fillId="7" borderId="15" xfId="0" applyNumberFormat="1" applyFont="1" applyFill="1" applyBorder="1" applyAlignment="1">
      <alignment horizontal="right" vertical="center"/>
    </xf>
    <xf numFmtId="3" fontId="34" fillId="3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right" vertical="center"/>
    </xf>
    <xf numFmtId="3" fontId="34" fillId="7" borderId="15" xfId="0" applyNumberFormat="1" applyFont="1" applyFill="1" applyBorder="1" applyAlignment="1">
      <alignment vertical="center" wrapText="1"/>
    </xf>
    <xf numFmtId="3" fontId="29" fillId="9" borderId="15" xfId="0" applyNumberFormat="1" applyFont="1" applyFill="1" applyBorder="1" applyAlignment="1">
      <alignment horizontal="center" vertical="center"/>
    </xf>
    <xf numFmtId="3" fontId="28" fillId="9" borderId="15" xfId="0" applyNumberFormat="1" applyFont="1" applyFill="1" applyBorder="1" applyAlignment="1">
      <alignment horizontal="center" vertical="center"/>
    </xf>
    <xf numFmtId="3" fontId="48" fillId="9" borderId="15" xfId="0" applyNumberFormat="1" applyFont="1" applyFill="1" applyBorder="1" applyAlignment="1">
      <alignment vertical="center"/>
    </xf>
    <xf numFmtId="3" fontId="48" fillId="9" borderId="15" xfId="0" applyNumberFormat="1" applyFont="1" applyFill="1" applyBorder="1" applyAlignment="1">
      <alignment horizontal="left" vertical="center"/>
    </xf>
    <xf numFmtId="3" fontId="48" fillId="9" borderId="15" xfId="0" applyNumberFormat="1" applyFont="1" applyFill="1" applyBorder="1" applyAlignment="1">
      <alignment horizontal="center" vertical="center"/>
    </xf>
    <xf numFmtId="3" fontId="14" fillId="9" borderId="15" xfId="0" applyNumberFormat="1" applyFont="1" applyFill="1" applyBorder="1" applyAlignment="1">
      <alignment horizontal="center" vertical="center"/>
    </xf>
    <xf numFmtId="3" fontId="12" fillId="9" borderId="15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48" fillId="3" borderId="15" xfId="2" applyNumberFormat="1" applyFont="1" applyFill="1" applyBorder="1" applyAlignment="1">
      <alignment horizontal="center" vertical="center"/>
    </xf>
    <xf numFmtId="3" fontId="48" fillId="3" borderId="15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vertical="center"/>
    </xf>
    <xf numFmtId="3" fontId="24" fillId="3" borderId="15" xfId="0" applyNumberFormat="1" applyFont="1" applyFill="1" applyBorder="1" applyAlignment="1">
      <alignment horizontal="left" vertical="center"/>
    </xf>
    <xf numFmtId="3" fontId="24" fillId="3" borderId="15" xfId="0" quotePrefix="1" applyNumberFormat="1" applyFont="1" applyFill="1" applyBorder="1" applyAlignment="1">
      <alignment horizontal="left" vertical="center" indent="1"/>
    </xf>
    <xf numFmtId="3" fontId="73" fillId="3" borderId="15" xfId="0" applyNumberFormat="1" applyFont="1" applyFill="1" applyBorder="1" applyAlignment="1">
      <alignment horizontal="center" vertical="center"/>
    </xf>
    <xf numFmtId="3" fontId="28" fillId="3" borderId="15" xfId="0" applyNumberFormat="1" applyFont="1" applyFill="1" applyBorder="1" applyAlignment="1">
      <alignment horizontal="center" vertical="center"/>
    </xf>
    <xf numFmtId="3" fontId="30" fillId="3" borderId="15" xfId="0" quotePrefix="1" applyNumberFormat="1" applyFont="1" applyFill="1" applyBorder="1" applyAlignment="1">
      <alignment horizontal="left" vertical="center" indent="2"/>
    </xf>
    <xf numFmtId="3" fontId="30" fillId="3" borderId="15" xfId="0" applyNumberFormat="1" applyFont="1" applyFill="1" applyBorder="1" applyAlignment="1">
      <alignment horizontal="right" vertical="center"/>
    </xf>
    <xf numFmtId="3" fontId="28" fillId="3" borderId="15" xfId="0" quotePrefix="1" applyNumberFormat="1" applyFont="1" applyFill="1" applyBorder="1" applyAlignment="1">
      <alignment horizontal="left" vertical="center" indent="2"/>
    </xf>
    <xf numFmtId="3" fontId="27" fillId="0" borderId="15" xfId="0" applyNumberFormat="1" applyFont="1" applyFill="1" applyBorder="1" applyAlignment="1">
      <alignment vertical="center"/>
    </xf>
    <xf numFmtId="3" fontId="30" fillId="3" borderId="15" xfId="0" applyNumberFormat="1" applyFont="1" applyFill="1" applyBorder="1" applyAlignment="1">
      <alignment horizontal="left" vertical="center" indent="1"/>
    </xf>
    <xf numFmtId="3" fontId="23" fillId="3" borderId="15" xfId="0" quotePrefix="1" applyNumberFormat="1" applyFont="1" applyFill="1" applyBorder="1" applyAlignment="1">
      <alignment horizontal="left" vertical="center" indent="1"/>
    </xf>
    <xf numFmtId="3" fontId="21" fillId="3" borderId="15" xfId="0" applyNumberFormat="1" applyFont="1" applyFill="1" applyBorder="1" applyAlignment="1">
      <alignment horizontal="left" vertical="center"/>
    </xf>
    <xf numFmtId="3" fontId="23" fillId="3" borderId="15" xfId="0" applyNumberFormat="1" applyFont="1" applyFill="1" applyBorder="1" applyAlignment="1">
      <alignment vertical="center" wrapText="1"/>
    </xf>
    <xf numFmtId="3" fontId="12" fillId="0" borderId="15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Alignment="1">
      <alignment horizontal="left" vertical="center"/>
    </xf>
    <xf numFmtId="3" fontId="23" fillId="3" borderId="15" xfId="0" applyNumberFormat="1" applyFont="1" applyFill="1" applyBorder="1" applyAlignment="1">
      <alignment horizontal="left" vertical="top" readingOrder="1"/>
    </xf>
    <xf numFmtId="3" fontId="23" fillId="0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 wrapText="1"/>
    </xf>
    <xf numFmtId="3" fontId="34" fillId="3" borderId="15" xfId="0" applyNumberFormat="1" applyFont="1" applyFill="1" applyBorder="1" applyAlignment="1">
      <alignment vertical="center" wrapText="1"/>
    </xf>
    <xf numFmtId="3" fontId="48" fillId="9" borderId="15" xfId="0" applyNumberFormat="1" applyFont="1" applyFill="1" applyBorder="1" applyAlignment="1">
      <alignment horizontal="right" vertical="center"/>
    </xf>
    <xf numFmtId="3" fontId="74" fillId="9" borderId="15" xfId="0" applyNumberFormat="1" applyFont="1" applyFill="1" applyBorder="1" applyAlignment="1">
      <alignment horizontal="center" vertical="center"/>
    </xf>
    <xf numFmtId="3" fontId="74" fillId="9" borderId="15" xfId="0" applyNumberFormat="1" applyFont="1" applyFill="1" applyBorder="1" applyAlignment="1">
      <alignment horizontal="left" vertical="center"/>
    </xf>
    <xf numFmtId="3" fontId="74" fillId="9" borderId="15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horizontal="right" vertical="center"/>
    </xf>
    <xf numFmtId="0" fontId="24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left" vertical="center" wrapText="1"/>
    </xf>
    <xf numFmtId="3" fontId="30" fillId="4" borderId="1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1" fontId="12" fillId="3" borderId="0" xfId="2" applyNumberFormat="1" applyFont="1" applyFill="1" applyAlignment="1">
      <alignment horizontal="right" vertical="center"/>
    </xf>
    <xf numFmtId="3" fontId="75" fillId="3" borderId="0" xfId="2" applyNumberFormat="1" applyFont="1" applyFill="1" applyAlignment="1">
      <alignment vertical="center"/>
    </xf>
    <xf numFmtId="3" fontId="76" fillId="3" borderId="0" xfId="2" applyNumberFormat="1" applyFont="1" applyFill="1" applyBorder="1" applyAlignment="1">
      <alignment vertical="center"/>
    </xf>
    <xf numFmtId="3" fontId="75" fillId="3" borderId="0" xfId="2" applyNumberFormat="1" applyFont="1" applyFill="1" applyBorder="1" applyAlignment="1">
      <alignment vertical="center"/>
    </xf>
    <xf numFmtId="4" fontId="76" fillId="3" borderId="0" xfId="2" applyNumberFormat="1" applyFont="1" applyFill="1" applyBorder="1" applyAlignment="1">
      <alignment horizontal="right" vertical="center"/>
    </xf>
    <xf numFmtId="3" fontId="76" fillId="3" borderId="18" xfId="2" applyNumberFormat="1" applyFont="1" applyFill="1" applyBorder="1" applyAlignment="1">
      <alignment horizontal="right" vertical="center"/>
    </xf>
    <xf numFmtId="4" fontId="76" fillId="3" borderId="18" xfId="2" applyNumberFormat="1" applyFont="1" applyFill="1" applyBorder="1" applyAlignment="1">
      <alignment horizontal="right" vertical="center"/>
    </xf>
    <xf numFmtId="3" fontId="76" fillId="3" borderId="10" xfId="2" applyNumberFormat="1" applyFont="1" applyFill="1" applyBorder="1" applyAlignment="1">
      <alignment horizontal="center" vertical="center"/>
    </xf>
    <xf numFmtId="3" fontId="76" fillId="3" borderId="10" xfId="2" applyNumberFormat="1" applyFont="1" applyFill="1" applyBorder="1" applyAlignment="1">
      <alignment horizontal="center" vertical="center" wrapText="1"/>
    </xf>
    <xf numFmtId="4" fontId="76" fillId="3" borderId="19" xfId="2" applyNumberFormat="1" applyFont="1" applyFill="1" applyBorder="1" applyAlignment="1">
      <alignment horizontal="center" vertical="center"/>
    </xf>
    <xf numFmtId="3" fontId="76" fillId="3" borderId="9" xfId="2" applyNumberFormat="1" applyFont="1" applyFill="1" applyBorder="1" applyAlignment="1">
      <alignment horizontal="center" vertical="center"/>
    </xf>
    <xf numFmtId="3" fontId="76" fillId="3" borderId="9" xfId="2" applyNumberFormat="1" applyFont="1" applyFill="1" applyBorder="1" applyAlignment="1">
      <alignment horizontal="center" vertical="center" wrapText="1"/>
    </xf>
    <xf numFmtId="4" fontId="76" fillId="3" borderId="20" xfId="2" applyNumberFormat="1" applyFont="1" applyFill="1" applyBorder="1" applyAlignment="1">
      <alignment horizontal="center" vertical="center"/>
    </xf>
    <xf numFmtId="3" fontId="76" fillId="3" borderId="5" xfId="2" applyNumberFormat="1" applyFont="1" applyFill="1" applyBorder="1" applyAlignment="1">
      <alignment horizontal="center" vertical="center"/>
    </xf>
    <xf numFmtId="3" fontId="76" fillId="3" borderId="5" xfId="2" applyNumberFormat="1" applyFont="1" applyFill="1" applyBorder="1" applyAlignment="1">
      <alignment horizontal="center" vertical="center" wrapText="1"/>
    </xf>
    <xf numFmtId="4" fontId="76" fillId="3" borderId="21" xfId="2" applyNumberFormat="1" applyFont="1" applyFill="1" applyBorder="1" applyAlignment="1">
      <alignment horizontal="right" vertical="center"/>
    </xf>
    <xf numFmtId="3" fontId="27" fillId="5" borderId="0" xfId="2" applyNumberFormat="1" applyFont="1" applyFill="1" applyBorder="1" applyAlignment="1">
      <alignment horizontal="center" vertical="center"/>
    </xf>
    <xf numFmtId="3" fontId="27" fillId="5" borderId="6" xfId="2" applyNumberFormat="1" applyFont="1" applyFill="1" applyBorder="1" applyAlignment="1">
      <alignment horizontal="center" vertical="center"/>
    </xf>
    <xf numFmtId="3" fontId="70" fillId="5" borderId="9" xfId="2" applyNumberFormat="1" applyFont="1" applyFill="1" applyBorder="1" applyAlignment="1">
      <alignment horizontal="right" vertical="center"/>
    </xf>
    <xf numFmtId="3" fontId="71" fillId="5" borderId="9" xfId="2" applyNumberFormat="1" applyFont="1" applyFill="1" applyBorder="1" applyAlignment="1">
      <alignment horizontal="right" vertical="center"/>
    </xf>
    <xf numFmtId="4" fontId="70" fillId="5" borderId="20" xfId="2" applyNumberFormat="1" applyFont="1" applyFill="1" applyBorder="1" applyAlignment="1">
      <alignment horizontal="right" vertical="center"/>
    </xf>
    <xf numFmtId="3" fontId="19" fillId="9" borderId="10" xfId="3" applyNumberFormat="1" applyFont="1" applyFill="1" applyBorder="1" applyAlignment="1">
      <alignment vertical="center" shrinkToFit="1"/>
    </xf>
    <xf numFmtId="3" fontId="19" fillId="9" borderId="12" xfId="2" applyNumberFormat="1" applyFont="1" applyFill="1" applyBorder="1" applyAlignment="1">
      <alignment horizontal="right" vertical="center"/>
    </xf>
    <xf numFmtId="3" fontId="19" fillId="9" borderId="12" xfId="2" applyNumberFormat="1" applyFont="1" applyFill="1" applyBorder="1" applyAlignment="1">
      <alignment vertical="center"/>
    </xf>
    <xf numFmtId="4" fontId="19" fillId="9" borderId="87" xfId="2" applyNumberFormat="1" applyFont="1" applyFill="1" applyBorder="1" applyAlignment="1">
      <alignment horizontal="right" vertical="center"/>
    </xf>
    <xf numFmtId="3" fontId="70" fillId="9" borderId="15" xfId="2" applyNumberFormat="1" applyFont="1" applyFill="1" applyBorder="1" applyAlignment="1">
      <alignment horizontal="left"/>
    </xf>
    <xf numFmtId="3" fontId="19" fillId="9" borderId="10" xfId="2" applyNumberFormat="1" applyFont="1" applyFill="1" applyBorder="1" applyAlignment="1">
      <alignment horizontal="right" vertical="center"/>
    </xf>
    <xf numFmtId="4" fontId="19" fillId="9" borderId="82" xfId="2" applyNumberFormat="1" applyFont="1" applyFill="1" applyBorder="1" applyAlignment="1">
      <alignment horizontal="right" vertical="center"/>
    </xf>
    <xf numFmtId="3" fontId="70" fillId="9" borderId="16" xfId="2" applyNumberFormat="1" applyFont="1" applyFill="1" applyBorder="1" applyAlignment="1">
      <alignment horizontal="left"/>
    </xf>
    <xf numFmtId="3" fontId="19" fillId="9" borderId="16" xfId="2" applyNumberFormat="1" applyFont="1" applyFill="1" applyBorder="1" applyAlignment="1">
      <alignment horizontal="right" vertical="center"/>
    </xf>
    <xf numFmtId="3" fontId="19" fillId="9" borderId="9" xfId="2" applyNumberFormat="1" applyFont="1" applyFill="1" applyBorder="1" applyAlignment="1">
      <alignment horizontal="right" vertical="center"/>
    </xf>
    <xf numFmtId="3" fontId="19" fillId="9" borderId="9" xfId="2" applyNumberFormat="1" applyFont="1" applyFill="1" applyBorder="1" applyAlignment="1">
      <alignment vertical="center"/>
    </xf>
    <xf numFmtId="4" fontId="19" fillId="9" borderId="86" xfId="2" applyNumberFormat="1" applyFont="1" applyFill="1" applyBorder="1" applyAlignment="1">
      <alignment horizontal="right" vertical="center"/>
    </xf>
    <xf numFmtId="3" fontId="19" fillId="0" borderId="77" xfId="2" applyNumberFormat="1" applyFont="1" applyFill="1" applyBorder="1" applyAlignment="1">
      <alignment horizontal="left"/>
    </xf>
    <xf numFmtId="3" fontId="19" fillId="0" borderId="77" xfId="2" applyNumberFormat="1" applyFont="1" applyFill="1" applyBorder="1" applyAlignment="1">
      <alignment horizontal="right" vertical="center"/>
    </xf>
    <xf numFmtId="3" fontId="19" fillId="0" borderId="77" xfId="2" applyNumberFormat="1" applyFont="1" applyFill="1" applyBorder="1" applyAlignment="1">
      <alignment vertical="center"/>
    </xf>
    <xf numFmtId="4" fontId="19" fillId="0" borderId="78" xfId="2" applyNumberFormat="1" applyFont="1" applyFill="1" applyBorder="1" applyAlignment="1">
      <alignment horizontal="right" vertical="center"/>
    </xf>
    <xf numFmtId="3" fontId="70" fillId="3" borderId="13" xfId="2" applyNumberFormat="1" applyFont="1" applyFill="1" applyBorder="1" applyAlignment="1">
      <alignment horizontal="left"/>
    </xf>
    <xf numFmtId="3" fontId="70" fillId="0" borderId="13" xfId="2" applyNumberFormat="1" applyFont="1" applyFill="1" applyBorder="1" applyAlignment="1">
      <alignment horizontal="right" vertical="center"/>
    </xf>
    <xf numFmtId="3" fontId="70" fillId="3" borderId="13" xfId="2" applyNumberFormat="1" applyFont="1" applyFill="1" applyBorder="1" applyAlignment="1">
      <alignment horizontal="right" vertical="center"/>
    </xf>
    <xf numFmtId="3" fontId="18" fillId="0" borderId="13" xfId="2" applyNumberFormat="1" applyFont="1" applyFill="1" applyBorder="1" applyAlignment="1">
      <alignment horizontal="right" vertical="center"/>
    </xf>
    <xf numFmtId="4" fontId="19" fillId="0" borderId="82" xfId="2" applyNumberFormat="1" applyFont="1" applyFill="1" applyBorder="1" applyAlignment="1">
      <alignment horizontal="right" vertical="center"/>
    </xf>
    <xf numFmtId="3" fontId="70" fillId="0" borderId="15" xfId="2" applyNumberFormat="1" applyFont="1" applyFill="1" applyBorder="1" applyAlignment="1">
      <alignment horizontal="left"/>
    </xf>
    <xf numFmtId="3" fontId="70" fillId="0" borderId="15" xfId="2" applyNumberFormat="1" applyFont="1" applyFill="1" applyBorder="1" applyAlignment="1">
      <alignment horizontal="right" vertical="center"/>
    </xf>
    <xf numFmtId="3" fontId="18" fillId="0" borderId="15" xfId="2" applyNumberFormat="1" applyFont="1" applyFill="1" applyBorder="1" applyAlignment="1">
      <alignment horizontal="right" vertical="center"/>
    </xf>
    <xf numFmtId="4" fontId="19" fillId="0" borderId="85" xfId="2" applyNumberFormat="1" applyFont="1" applyFill="1" applyBorder="1" applyAlignment="1">
      <alignment horizontal="right" vertical="center"/>
    </xf>
    <xf numFmtId="3" fontId="18" fillId="0" borderId="15" xfId="2" applyNumberFormat="1" applyFont="1" applyFill="1" applyBorder="1" applyAlignment="1">
      <alignment vertical="center" shrinkToFit="1"/>
    </xf>
    <xf numFmtId="3" fontId="70" fillId="0" borderId="15" xfId="2" applyNumberFormat="1" applyFont="1" applyFill="1" applyBorder="1" applyAlignment="1">
      <alignment vertical="center" shrinkToFit="1"/>
    </xf>
    <xf numFmtId="3" fontId="75" fillId="0" borderId="0" xfId="2" applyNumberFormat="1" applyFont="1" applyFill="1" applyAlignment="1">
      <alignment vertical="center"/>
    </xf>
    <xf numFmtId="3" fontId="19" fillId="3" borderId="77" xfId="2" applyNumberFormat="1" applyFont="1" applyFill="1" applyBorder="1" applyAlignment="1">
      <alignment vertical="center" wrapText="1"/>
    </xf>
    <xf numFmtId="3" fontId="19" fillId="3" borderId="77" xfId="2" applyNumberFormat="1" applyFont="1" applyFill="1" applyBorder="1" applyAlignment="1">
      <alignment vertical="center" shrinkToFit="1"/>
    </xf>
    <xf numFmtId="3" fontId="49" fillId="3" borderId="77" xfId="2" applyNumberFormat="1" applyFont="1" applyFill="1" applyBorder="1" applyAlignment="1">
      <alignment vertical="center" shrinkToFit="1"/>
    </xf>
    <xf numFmtId="3" fontId="18" fillId="0" borderId="77" xfId="2" applyNumberFormat="1" applyFont="1" applyFill="1" applyBorder="1" applyAlignment="1">
      <alignment vertical="center"/>
    </xf>
    <xf numFmtId="3" fontId="19" fillId="3" borderId="75" xfId="3" applyNumberFormat="1" applyFont="1" applyFill="1" applyBorder="1" applyAlignment="1">
      <alignment vertical="center"/>
    </xf>
    <xf numFmtId="3" fontId="19" fillId="9" borderId="5" xfId="2" applyNumberFormat="1" applyFont="1" applyFill="1" applyBorder="1" applyAlignment="1">
      <alignment horizontal="left"/>
    </xf>
    <xf numFmtId="3" fontId="19" fillId="9" borderId="5" xfId="2" applyNumberFormat="1" applyFont="1" applyFill="1" applyBorder="1" applyAlignment="1">
      <alignment horizontal="right" vertical="center"/>
    </xf>
    <xf numFmtId="3" fontId="19" fillId="9" borderId="5" xfId="2" applyNumberFormat="1" applyFont="1" applyFill="1" applyBorder="1" applyAlignment="1">
      <alignment vertical="center"/>
    </xf>
    <xf numFmtId="4" fontId="19" fillId="9" borderId="21" xfId="2" applyNumberFormat="1" applyFont="1" applyFill="1" applyBorder="1" applyAlignment="1">
      <alignment horizontal="right" vertical="center"/>
    </xf>
    <xf numFmtId="0" fontId="70" fillId="3" borderId="13" xfId="0" applyFont="1" applyFill="1" applyBorder="1"/>
    <xf numFmtId="3" fontId="18" fillId="3" borderId="13" xfId="2" applyNumberFormat="1" applyFont="1" applyFill="1" applyBorder="1" applyAlignment="1">
      <alignment horizontal="right" vertical="center"/>
    </xf>
    <xf numFmtId="3" fontId="18" fillId="3" borderId="13" xfId="2" applyNumberFormat="1" applyFont="1" applyFill="1" applyBorder="1" applyAlignment="1">
      <alignment vertical="center"/>
    </xf>
    <xf numFmtId="3" fontId="19" fillId="3" borderId="13" xfId="2" applyNumberFormat="1" applyFont="1" applyFill="1" applyBorder="1" applyAlignment="1">
      <alignment horizontal="right" vertical="center"/>
    </xf>
    <xf numFmtId="3" fontId="19" fillId="3" borderId="13" xfId="2" applyNumberFormat="1" applyFont="1" applyFill="1" applyBorder="1" applyAlignment="1">
      <alignment vertical="center"/>
    </xf>
    <xf numFmtId="0" fontId="18" fillId="3" borderId="15" xfId="0" applyFont="1" applyFill="1" applyBorder="1"/>
    <xf numFmtId="0" fontId="18" fillId="0" borderId="15" xfId="0" applyFont="1" applyBorder="1"/>
    <xf numFmtId="4" fontId="19" fillId="3" borderId="15" xfId="2" applyNumberFormat="1" applyFont="1" applyFill="1" applyBorder="1" applyAlignment="1">
      <alignment horizontal="right" vertical="center"/>
    </xf>
    <xf numFmtId="0" fontId="23" fillId="0" borderId="15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3" fontId="19" fillId="9" borderId="13" xfId="2" applyNumberFormat="1" applyFont="1" applyFill="1" applyBorder="1" applyAlignment="1">
      <alignment horizontal="left" wrapText="1"/>
    </xf>
    <xf numFmtId="3" fontId="70" fillId="9" borderId="13" xfId="2" applyNumberFormat="1" applyFont="1" applyFill="1" applyBorder="1" applyAlignment="1">
      <alignment horizontal="left" vertical="center" indent="2"/>
    </xf>
    <xf numFmtId="3" fontId="19" fillId="9" borderId="15" xfId="2" applyNumberFormat="1" applyFont="1" applyFill="1" applyBorder="1" applyAlignment="1">
      <alignment horizontal="right" vertical="center"/>
    </xf>
    <xf numFmtId="3" fontId="19" fillId="9" borderId="15" xfId="2" applyNumberFormat="1" applyFont="1" applyFill="1" applyBorder="1" applyAlignment="1">
      <alignment vertical="center"/>
    </xf>
    <xf numFmtId="3" fontId="18" fillId="3" borderId="15" xfId="2" applyNumberFormat="1" applyFont="1" applyFill="1" applyBorder="1" applyAlignment="1">
      <alignment horizontal="left" wrapText="1"/>
    </xf>
    <xf numFmtId="3" fontId="18" fillId="3" borderId="14" xfId="2" applyNumberFormat="1" applyFont="1" applyFill="1" applyBorder="1" applyAlignment="1">
      <alignment horizontal="left" wrapText="1"/>
    </xf>
    <xf numFmtId="3" fontId="18" fillId="3" borderId="14" xfId="2" applyNumberFormat="1" applyFont="1" applyFill="1" applyBorder="1" applyAlignment="1">
      <alignment vertical="center"/>
    </xf>
    <xf numFmtId="3" fontId="19" fillId="3" borderId="14" xfId="2" applyNumberFormat="1" applyFont="1" applyFill="1" applyBorder="1" applyAlignment="1">
      <alignment vertical="center"/>
    </xf>
    <xf numFmtId="3" fontId="19" fillId="3" borderId="77" xfId="2" applyNumberFormat="1" applyFont="1" applyFill="1" applyBorder="1" applyAlignment="1">
      <alignment horizontal="left" wrapText="1"/>
    </xf>
    <xf numFmtId="2" fontId="19" fillId="3" borderId="78" xfId="2" applyNumberFormat="1" applyFont="1" applyFill="1" applyBorder="1" applyAlignment="1">
      <alignment horizontal="right" vertical="center"/>
    </xf>
    <xf numFmtId="3" fontId="19" fillId="3" borderId="99" xfId="2" applyNumberFormat="1" applyFont="1" applyFill="1" applyBorder="1" applyAlignment="1">
      <alignment horizontal="left" wrapText="1"/>
    </xf>
    <xf numFmtId="3" fontId="19" fillId="3" borderId="99" xfId="2" applyNumberFormat="1" applyFont="1" applyFill="1" applyBorder="1" applyAlignment="1">
      <alignment horizontal="left"/>
    </xf>
    <xf numFmtId="3" fontId="19" fillId="3" borderId="127" xfId="2" applyNumberFormat="1" applyFont="1" applyFill="1" applyBorder="1" applyAlignment="1">
      <alignment horizontal="left"/>
    </xf>
    <xf numFmtId="3" fontId="19" fillId="5" borderId="77" xfId="2" applyNumberFormat="1" applyFont="1" applyFill="1" applyBorder="1" applyAlignment="1">
      <alignment horizontal="right" vertical="center"/>
    </xf>
    <xf numFmtId="2" fontId="19" fillId="5" borderId="77" xfId="2" applyNumberFormat="1" applyFont="1" applyFill="1" applyBorder="1" applyAlignment="1">
      <alignment horizontal="right" vertical="center"/>
    </xf>
    <xf numFmtId="3" fontId="71" fillId="5" borderId="12" xfId="2" applyNumberFormat="1" applyFont="1" applyFill="1" applyBorder="1" applyAlignment="1">
      <alignment horizontal="right" vertical="center"/>
    </xf>
    <xf numFmtId="2" fontId="71" fillId="5" borderId="12" xfId="2" applyNumberFormat="1" applyFont="1" applyFill="1" applyBorder="1" applyAlignment="1">
      <alignment horizontal="right" vertical="center"/>
    </xf>
    <xf numFmtId="2" fontId="71" fillId="5" borderId="9" xfId="2" applyNumberFormat="1" applyFont="1" applyFill="1" applyBorder="1" applyAlignment="1">
      <alignment horizontal="right" vertical="center"/>
    </xf>
    <xf numFmtId="3" fontId="71" fillId="5" borderId="14" xfId="2" applyNumberFormat="1" applyFont="1" applyFill="1" applyBorder="1" applyAlignment="1">
      <alignment horizontal="right" vertical="center"/>
    </xf>
    <xf numFmtId="2" fontId="71" fillId="5" borderId="14" xfId="2" applyNumberFormat="1" applyFont="1" applyFill="1" applyBorder="1" applyAlignment="1">
      <alignment horizontal="right" vertical="center"/>
    </xf>
    <xf numFmtId="3" fontId="18" fillId="3" borderId="16" xfId="2" applyNumberFormat="1" applyFont="1" applyFill="1" applyBorder="1" applyAlignment="1">
      <alignment horizontal="left" vertical="center" wrapText="1" indent="1"/>
    </xf>
    <xf numFmtId="3" fontId="14" fillId="0" borderId="15" xfId="2" applyNumberFormat="1" applyFont="1" applyFill="1" applyBorder="1" applyAlignment="1">
      <alignment vertical="center"/>
    </xf>
    <xf numFmtId="3" fontId="18" fillId="3" borderId="16" xfId="2" applyNumberFormat="1" applyFont="1" applyFill="1" applyBorder="1" applyAlignment="1">
      <alignment horizontal="left" wrapText="1"/>
    </xf>
    <xf numFmtId="3" fontId="19" fillId="3" borderId="14" xfId="2" applyNumberFormat="1" applyFont="1" applyFill="1" applyBorder="1" applyAlignment="1">
      <alignment horizontal="right" vertical="center"/>
    </xf>
    <xf numFmtId="3" fontId="10" fillId="3" borderId="14" xfId="2" applyNumberFormat="1" applyFont="1" applyFill="1" applyBorder="1" applyAlignment="1">
      <alignment vertical="center"/>
    </xf>
    <xf numFmtId="3" fontId="19" fillId="5" borderId="5" xfId="2" applyNumberFormat="1" applyFont="1" applyFill="1" applyBorder="1" applyAlignment="1">
      <alignment horizontal="right" vertical="center"/>
    </xf>
    <xf numFmtId="4" fontId="19" fillId="5" borderId="78" xfId="2" applyNumberFormat="1" applyFont="1" applyFill="1" applyBorder="1" applyAlignment="1">
      <alignment horizontal="right" vertical="center"/>
    </xf>
    <xf numFmtId="3" fontId="19" fillId="4" borderId="5" xfId="2" applyNumberFormat="1" applyFont="1" applyFill="1" applyBorder="1" applyAlignment="1">
      <alignment horizontal="right" vertical="center"/>
    </xf>
    <xf numFmtId="41" fontId="19" fillId="4" borderId="5" xfId="2" applyNumberFormat="1" applyFont="1" applyFill="1" applyBorder="1" applyAlignment="1">
      <alignment horizontal="right" vertical="center"/>
    </xf>
    <xf numFmtId="3" fontId="19" fillId="4" borderId="5" xfId="2" applyNumberFormat="1" applyFont="1" applyFill="1" applyBorder="1" applyAlignment="1">
      <alignment vertical="center"/>
    </xf>
    <xf numFmtId="4" fontId="19" fillId="4" borderId="5" xfId="2" applyNumberFormat="1" applyFont="1" applyFill="1" applyBorder="1" applyAlignment="1">
      <alignment horizontal="right" vertical="center"/>
    </xf>
    <xf numFmtId="3" fontId="70" fillId="4" borderId="77" xfId="2" applyNumberFormat="1" applyFont="1" applyFill="1" applyBorder="1" applyAlignment="1">
      <alignment vertical="center"/>
    </xf>
    <xf numFmtId="3" fontId="70" fillId="4" borderId="78" xfId="2" applyNumberFormat="1" applyFont="1" applyFill="1" applyBorder="1" applyAlignment="1">
      <alignment vertical="center"/>
    </xf>
    <xf numFmtId="3" fontId="70" fillId="4" borderId="76" xfId="2" applyNumberFormat="1" applyFont="1" applyFill="1" applyBorder="1" applyAlignment="1">
      <alignment vertical="center"/>
    </xf>
    <xf numFmtId="3" fontId="71" fillId="4" borderId="77" xfId="2" applyNumberFormat="1" applyFont="1" applyFill="1" applyBorder="1" applyAlignment="1">
      <alignment vertical="center"/>
    </xf>
    <xf numFmtId="4" fontId="70" fillId="4" borderId="78" xfId="2" applyNumberFormat="1" applyFont="1" applyFill="1" applyBorder="1" applyAlignment="1">
      <alignment vertical="center"/>
    </xf>
    <xf numFmtId="3" fontId="70" fillId="4" borderId="10" xfId="2" applyNumberFormat="1" applyFont="1" applyFill="1" applyBorder="1" applyAlignment="1">
      <alignment vertical="center"/>
    </xf>
    <xf numFmtId="3" fontId="70" fillId="4" borderId="19" xfId="2" applyNumberFormat="1" applyFont="1" applyFill="1" applyBorder="1" applyAlignment="1">
      <alignment vertical="center"/>
    </xf>
    <xf numFmtId="3" fontId="70" fillId="4" borderId="6" xfId="2" applyNumberFormat="1" applyFont="1" applyFill="1" applyBorder="1" applyAlignment="1">
      <alignment vertical="center"/>
    </xf>
    <xf numFmtId="3" fontId="70" fillId="4" borderId="13" xfId="2" applyNumberFormat="1" applyFont="1" applyFill="1" applyBorder="1" applyAlignment="1">
      <alignment vertical="center"/>
    </xf>
    <xf numFmtId="3" fontId="70" fillId="4" borderId="9" xfId="2" applyNumberFormat="1" applyFont="1" applyFill="1" applyBorder="1" applyAlignment="1">
      <alignment vertical="center"/>
    </xf>
    <xf numFmtId="3" fontId="71" fillId="4" borderId="9" xfId="2" applyNumberFormat="1" applyFont="1" applyFill="1" applyBorder="1" applyAlignment="1">
      <alignment vertical="center"/>
    </xf>
    <xf numFmtId="4" fontId="70" fillId="4" borderId="9" xfId="2" applyNumberFormat="1" applyFont="1" applyFill="1" applyBorder="1" applyAlignment="1">
      <alignment vertical="center"/>
    </xf>
    <xf numFmtId="3" fontId="70" fillId="4" borderId="75" xfId="2" applyNumberFormat="1" applyFont="1" applyFill="1" applyBorder="1" applyAlignment="1">
      <alignment vertical="center"/>
    </xf>
    <xf numFmtId="3" fontId="70" fillId="4" borderId="5" xfId="2" applyNumberFormat="1" applyFont="1" applyFill="1" applyBorder="1" applyAlignment="1">
      <alignment vertical="center"/>
    </xf>
    <xf numFmtId="3" fontId="71" fillId="4" borderId="5" xfId="2" applyNumberFormat="1" applyFont="1" applyFill="1" applyBorder="1" applyAlignment="1">
      <alignment vertical="center"/>
    </xf>
    <xf numFmtId="3" fontId="71" fillId="4" borderId="14" xfId="2" applyNumberFormat="1" applyFont="1" applyFill="1" applyBorder="1" applyAlignment="1">
      <alignment vertical="center"/>
    </xf>
    <xf numFmtId="4" fontId="70" fillId="4" borderId="14" xfId="2" applyNumberFormat="1" applyFont="1" applyFill="1" applyBorder="1" applyAlignment="1">
      <alignment vertical="center"/>
    </xf>
    <xf numFmtId="3" fontId="76" fillId="0" borderId="0" xfId="2" applyNumberFormat="1" applyFont="1" applyFill="1" applyAlignment="1">
      <alignment vertical="center"/>
    </xf>
    <xf numFmtId="3" fontId="75" fillId="0" borderId="22" xfId="2" applyNumberFormat="1" applyFont="1" applyFill="1" applyBorder="1" applyAlignment="1">
      <alignment vertical="center"/>
    </xf>
    <xf numFmtId="4" fontId="76" fillId="0" borderId="0" xfId="2" applyNumberFormat="1" applyFont="1" applyFill="1" applyAlignment="1">
      <alignment horizontal="right" vertical="center"/>
    </xf>
    <xf numFmtId="3" fontId="18" fillId="0" borderId="0" xfId="2" applyNumberFormat="1" applyFont="1" applyFill="1" applyAlignment="1">
      <alignment vertical="center"/>
    </xf>
    <xf numFmtId="3" fontId="19" fillId="0" borderId="0" xfId="2" applyNumberFormat="1" applyFont="1" applyFill="1" applyAlignment="1">
      <alignment vertical="center"/>
    </xf>
    <xf numFmtId="2" fontId="75" fillId="0" borderId="0" xfId="2" applyNumberFormat="1" applyFont="1" applyFill="1" applyAlignment="1">
      <alignment vertical="center"/>
    </xf>
    <xf numFmtId="2" fontId="76" fillId="0" borderId="0" xfId="2" applyNumberFormat="1" applyFont="1" applyFill="1" applyAlignment="1">
      <alignment horizontal="right" vertical="center"/>
    </xf>
    <xf numFmtId="3" fontId="31" fillId="0" borderId="0" xfId="0" applyNumberFormat="1" applyFont="1" applyFill="1" applyBorder="1" applyAlignment="1">
      <alignment vertical="center" shrinkToFit="1"/>
    </xf>
    <xf numFmtId="3" fontId="29" fillId="3" borderId="1" xfId="0" applyNumberFormat="1" applyFont="1" applyFill="1" applyBorder="1" applyAlignment="1">
      <alignment horizontal="center" vertical="center"/>
    </xf>
    <xf numFmtId="3" fontId="74" fillId="3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center" vertical="center"/>
    </xf>
    <xf numFmtId="0" fontId="24" fillId="3" borderId="97" xfId="0" applyFont="1" applyFill="1" applyBorder="1" applyAlignment="1">
      <alignment horizontal="left" vertical="center" shrinkToFit="1"/>
    </xf>
    <xf numFmtId="0" fontId="24" fillId="3" borderId="115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25" fillId="0" borderId="98" xfId="0" applyFont="1" applyFill="1" applyBorder="1" applyAlignment="1">
      <alignment horizontal="center" shrinkToFit="1"/>
    </xf>
    <xf numFmtId="0" fontId="25" fillId="0" borderId="99" xfId="0" applyFont="1" applyFill="1" applyBorder="1" applyAlignment="1">
      <alignment horizontal="center" shrinkToFit="1"/>
    </xf>
    <xf numFmtId="0" fontId="25" fillId="0" borderId="83" xfId="0" applyFont="1" applyFill="1" applyBorder="1" applyAlignment="1">
      <alignment horizontal="center" shrinkToFit="1"/>
    </xf>
    <xf numFmtId="0" fontId="24" fillId="0" borderId="100" xfId="0" applyFont="1" applyFill="1" applyBorder="1" applyAlignment="1">
      <alignment horizontal="left" vertical="center"/>
    </xf>
    <xf numFmtId="0" fontId="24" fillId="0" borderId="101" xfId="0" applyFont="1" applyFill="1" applyBorder="1" applyAlignment="1">
      <alignment horizontal="left" vertical="center"/>
    </xf>
    <xf numFmtId="0" fontId="24" fillId="0" borderId="98" xfId="0" applyFont="1" applyFill="1" applyBorder="1" applyAlignment="1">
      <alignment horizontal="center" shrinkToFit="1"/>
    </xf>
    <xf numFmtId="0" fontId="24" fillId="0" borderId="99" xfId="0" applyFont="1" applyFill="1" applyBorder="1" applyAlignment="1">
      <alignment horizontal="center" shrinkToFit="1"/>
    </xf>
    <xf numFmtId="0" fontId="24" fillId="0" borderId="83" xfId="0" applyFont="1" applyFill="1" applyBorder="1" applyAlignment="1">
      <alignment horizontal="center" shrinkToFit="1"/>
    </xf>
    <xf numFmtId="2" fontId="24" fillId="0" borderId="97" xfId="0" applyNumberFormat="1" applyFont="1" applyFill="1" applyBorder="1" applyAlignment="1">
      <alignment horizontal="center" vertical="center" shrinkToFit="1"/>
    </xf>
    <xf numFmtId="2" fontId="24" fillId="0" borderId="102" xfId="0" applyNumberFormat="1" applyFont="1" applyFill="1" applyBorder="1" applyAlignment="1">
      <alignment horizontal="center" vertical="center" shrinkToFit="1"/>
    </xf>
    <xf numFmtId="2" fontId="24" fillId="0" borderId="100" xfId="0" applyNumberFormat="1" applyFont="1" applyFill="1" applyBorder="1" applyAlignment="1">
      <alignment horizontal="center" shrinkToFit="1"/>
    </xf>
    <xf numFmtId="2" fontId="24" fillId="0" borderId="103" xfId="0" applyNumberFormat="1" applyFont="1" applyFill="1" applyBorder="1" applyAlignment="1">
      <alignment horizontal="center" shrinkToFit="1"/>
    </xf>
    <xf numFmtId="0" fontId="24" fillId="0" borderId="100" xfId="0" applyFont="1" applyFill="1" applyBorder="1" applyAlignment="1">
      <alignment horizontal="center" vertical="center" shrinkToFit="1"/>
    </xf>
    <xf numFmtId="0" fontId="24" fillId="0" borderId="103" xfId="0" applyFont="1" applyFill="1" applyBorder="1" applyAlignment="1">
      <alignment horizontal="center" vertical="center" shrinkToFit="1"/>
    </xf>
    <xf numFmtId="0" fontId="24" fillId="2" borderId="98" xfId="0" applyFont="1" applyFill="1" applyBorder="1" applyAlignment="1">
      <alignment horizontal="center" vertical="center" shrinkToFit="1"/>
    </xf>
    <xf numFmtId="0" fontId="24" fillId="2" borderId="99" xfId="0" applyFont="1" applyFill="1" applyBorder="1" applyAlignment="1">
      <alignment horizontal="center" vertical="center" shrinkToFit="1"/>
    </xf>
    <xf numFmtId="0" fontId="24" fillId="2" borderId="83" xfId="0" applyFont="1" applyFill="1" applyBorder="1" applyAlignment="1">
      <alignment horizontal="center" vertical="center" shrinkToFit="1"/>
    </xf>
    <xf numFmtId="2" fontId="24" fillId="0" borderId="100" xfId="0" applyNumberFormat="1" applyFont="1" applyFill="1" applyBorder="1" applyAlignment="1">
      <alignment horizontal="center" vertical="center" shrinkToFit="1"/>
    </xf>
    <xf numFmtId="2" fontId="24" fillId="0" borderId="103" xfId="0" applyNumberFormat="1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6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2" fontId="24" fillId="0" borderId="100" xfId="0" applyNumberFormat="1" applyFont="1" applyFill="1" applyBorder="1" applyAlignment="1">
      <alignment horizontal="left" vertical="center" wrapText="1" shrinkToFit="1"/>
    </xf>
    <xf numFmtId="2" fontId="24" fillId="0" borderId="103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3" fontId="21" fillId="9" borderId="15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>
      <alignment horizontal="left" vertical="center"/>
    </xf>
    <xf numFmtId="3" fontId="23" fillId="3" borderId="15" xfId="0" applyNumberFormat="1" applyFont="1" applyFill="1" applyBorder="1" applyAlignment="1">
      <alignment horizontal="left" vertical="center"/>
    </xf>
    <xf numFmtId="3" fontId="12" fillId="3" borderId="15" xfId="0" applyNumberFormat="1" applyFont="1" applyFill="1" applyBorder="1" applyAlignment="1">
      <alignment horizontal="center" vertical="center"/>
    </xf>
    <xf numFmtId="3" fontId="24" fillId="3" borderId="15" xfId="0" applyNumberFormat="1" applyFont="1" applyFill="1" applyBorder="1" applyAlignment="1">
      <alignment horizontal="left" vertical="center"/>
    </xf>
    <xf numFmtId="3" fontId="24" fillId="3" borderId="15" xfId="0" applyNumberFormat="1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>
      <alignment horizontal="center" vertical="center"/>
    </xf>
    <xf numFmtId="3" fontId="24" fillId="3" borderId="19" xfId="0" applyNumberFormat="1" applyFont="1" applyFill="1" applyBorder="1" applyAlignment="1">
      <alignment horizontal="center" vertical="center" wrapText="1"/>
    </xf>
    <xf numFmtId="3" fontId="24" fillId="3" borderId="21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textRotation="1"/>
    </xf>
    <xf numFmtId="0" fontId="0" fillId="3" borderId="5" xfId="0" applyFont="1" applyFill="1" applyBorder="1" applyAlignment="1">
      <alignment horizontal="center" vertical="center" textRotation="1"/>
    </xf>
    <xf numFmtId="3" fontId="14" fillId="3" borderId="10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3" fontId="14" fillId="3" borderId="98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35" xfId="0" applyNumberFormat="1" applyFont="1" applyFill="1" applyBorder="1" applyAlignment="1">
      <alignment horizontal="center" vertical="center"/>
    </xf>
    <xf numFmtId="3" fontId="48" fillId="3" borderId="16" xfId="0" applyNumberFormat="1" applyFont="1" applyFill="1" applyBorder="1" applyAlignment="1">
      <alignment horizontal="center" vertical="center"/>
    </xf>
    <xf numFmtId="3" fontId="34" fillId="3" borderId="10" xfId="0" applyNumberFormat="1" applyFont="1" applyFill="1" applyBorder="1" applyAlignment="1">
      <alignment horizontal="center" vertical="center" wrapText="1"/>
    </xf>
    <xf numFmtId="3" fontId="34" fillId="3" borderId="5" xfId="0" applyNumberFormat="1" applyFont="1" applyFill="1" applyBorder="1" applyAlignment="1">
      <alignment horizontal="center" vertical="center" wrapText="1"/>
    </xf>
    <xf numFmtId="3" fontId="24" fillId="3" borderId="10" xfId="0" applyNumberFormat="1" applyFont="1" applyFill="1" applyBorder="1" applyAlignment="1">
      <alignment horizontal="center" vertical="center" wrapText="1"/>
    </xf>
    <xf numFmtId="3" fontId="24" fillId="3" borderId="5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center" vertical="center"/>
    </xf>
    <xf numFmtId="3" fontId="74" fillId="9" borderId="15" xfId="0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 wrapText="1"/>
    </xf>
    <xf numFmtId="3" fontId="24" fillId="9" borderId="15" xfId="0" applyNumberFormat="1" applyFont="1" applyFill="1" applyBorder="1" applyAlignment="1">
      <alignment horizontal="center" vertical="center"/>
    </xf>
    <xf numFmtId="3" fontId="74" fillId="4" borderId="15" xfId="0" applyNumberFormat="1" applyFont="1" applyFill="1" applyBorder="1" applyAlignment="1">
      <alignment horizontal="center" vertical="center"/>
    </xf>
    <xf numFmtId="3" fontId="74" fillId="9" borderId="15" xfId="0" applyNumberFormat="1" applyFont="1" applyFill="1" applyBorder="1" applyAlignment="1">
      <alignment horizontal="left"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30" fillId="4" borderId="15" xfId="0" applyNumberFormat="1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left" vertical="center" wrapText="1"/>
    </xf>
    <xf numFmtId="3" fontId="24" fillId="4" borderId="15" xfId="0" applyNumberFormat="1" applyFont="1" applyFill="1" applyBorder="1" applyAlignment="1">
      <alignment horizontal="center" vertical="center"/>
    </xf>
    <xf numFmtId="3" fontId="30" fillId="4" borderId="15" xfId="0" quotePrefix="1" applyNumberFormat="1" applyFont="1" applyFill="1" applyBorder="1" applyAlignment="1">
      <alignment horizontal="center" vertical="center"/>
    </xf>
    <xf numFmtId="3" fontId="34" fillId="3" borderId="15" xfId="0" applyNumberFormat="1" applyFont="1" applyFill="1" applyBorder="1" applyAlignment="1">
      <alignment horizontal="left" vertical="center"/>
    </xf>
    <xf numFmtId="3" fontId="21" fillId="9" borderId="90" xfId="0" applyNumberFormat="1" applyFont="1" applyFill="1" applyBorder="1" applyAlignment="1">
      <alignment horizontal="center" vertical="center"/>
    </xf>
    <xf numFmtId="3" fontId="21" fillId="9" borderId="105" xfId="0" applyNumberFormat="1" applyFont="1" applyFill="1" applyBorder="1" applyAlignment="1">
      <alignment horizontal="center" vertical="center"/>
    </xf>
    <xf numFmtId="3" fontId="21" fillId="9" borderId="94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Alignment="1">
      <alignment horizontal="right" vertical="top"/>
    </xf>
    <xf numFmtId="0" fontId="24" fillId="0" borderId="9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107" xfId="0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 wrapText="1"/>
    </xf>
    <xf numFmtId="0" fontId="24" fillId="0" borderId="109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5" xfId="0" quotePrefix="1" applyFont="1" applyBorder="1" applyAlignment="1">
      <alignment horizontal="center" vertical="center" wrapText="1"/>
    </xf>
    <xf numFmtId="1" fontId="21" fillId="0" borderId="12" xfId="2" applyNumberFormat="1" applyFont="1" applyFill="1" applyBorder="1" applyAlignment="1">
      <alignment horizontal="center" vertical="center" wrapText="1"/>
    </xf>
    <xf numFmtId="1" fontId="21" fillId="0" borderId="15" xfId="2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4" fillId="0" borderId="87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3" fontId="76" fillId="3" borderId="16" xfId="2" applyNumberFormat="1" applyFont="1" applyFill="1" applyBorder="1" applyAlignment="1">
      <alignment horizontal="center" vertical="center" wrapText="1"/>
    </xf>
    <xf numFmtId="3" fontId="76" fillId="3" borderId="5" xfId="2" applyNumberFormat="1" applyFont="1" applyFill="1" applyBorder="1" applyAlignment="1">
      <alignment horizontal="center" vertical="center" wrapText="1"/>
    </xf>
    <xf numFmtId="3" fontId="11" fillId="4" borderId="75" xfId="2" applyNumberFormat="1" applyFont="1" applyFill="1" applyBorder="1" applyAlignment="1">
      <alignment horizontal="center" vertical="center"/>
    </xf>
    <xf numFmtId="3" fontId="11" fillId="4" borderId="77" xfId="2" applyNumberFormat="1" applyFont="1" applyFill="1" applyBorder="1" applyAlignment="1">
      <alignment horizontal="center" vertical="center"/>
    </xf>
    <xf numFmtId="3" fontId="10" fillId="5" borderId="98" xfId="2" applyNumberFormat="1" applyFont="1" applyFill="1" applyBorder="1" applyAlignment="1">
      <alignment horizontal="center" vertical="center" wrapText="1"/>
    </xf>
    <xf numFmtId="3" fontId="10" fillId="5" borderId="99" xfId="2" applyNumberFormat="1" applyFont="1" applyFill="1" applyBorder="1" applyAlignment="1">
      <alignment horizontal="center" vertical="center" wrapText="1"/>
    </xf>
    <xf numFmtId="3" fontId="10" fillId="5" borderId="76" xfId="2" applyNumberFormat="1" applyFont="1" applyFill="1" applyBorder="1" applyAlignment="1">
      <alignment horizontal="center" vertical="center" wrapText="1"/>
    </xf>
    <xf numFmtId="3" fontId="10" fillId="4" borderId="74" xfId="2" applyNumberFormat="1" applyFont="1" applyFill="1" applyBorder="1" applyAlignment="1">
      <alignment horizontal="center" vertical="center"/>
    </xf>
    <xf numFmtId="3" fontId="10" fillId="4" borderId="5" xfId="2" applyNumberFormat="1" applyFont="1" applyFill="1" applyBorder="1" applyAlignment="1">
      <alignment horizontal="center" vertical="center"/>
    </xf>
    <xf numFmtId="3" fontId="11" fillId="4" borderId="17" xfId="2" applyNumberFormat="1" applyFont="1" applyFill="1" applyBorder="1" applyAlignment="1">
      <alignment horizontal="center" vertical="center"/>
    </xf>
    <xf numFmtId="3" fontId="11" fillId="4" borderId="22" xfId="2" applyNumberFormat="1" applyFont="1" applyFill="1" applyBorder="1" applyAlignment="1">
      <alignment horizontal="center" vertical="center"/>
    </xf>
    <xf numFmtId="3" fontId="11" fillId="4" borderId="7" xfId="2" applyNumberFormat="1" applyFont="1" applyFill="1" applyBorder="1" applyAlignment="1">
      <alignment horizontal="center" vertical="center"/>
    </xf>
    <xf numFmtId="3" fontId="11" fillId="5" borderId="112" xfId="2" applyNumberFormat="1" applyFont="1" applyFill="1" applyBorder="1" applyAlignment="1">
      <alignment horizontal="center" vertical="center"/>
    </xf>
    <xf numFmtId="3" fontId="11" fillId="5" borderId="113" xfId="2" applyNumberFormat="1" applyFont="1" applyFill="1" applyBorder="1" applyAlignment="1">
      <alignment horizontal="center" vertical="center"/>
    </xf>
    <xf numFmtId="3" fontId="11" fillId="5" borderId="114" xfId="2" applyNumberFormat="1" applyFont="1" applyFill="1" applyBorder="1" applyAlignment="1">
      <alignment horizontal="center" vertical="center"/>
    </xf>
    <xf numFmtId="3" fontId="10" fillId="5" borderId="98" xfId="2" applyNumberFormat="1" applyFont="1" applyFill="1" applyBorder="1" applyAlignment="1">
      <alignment horizontal="center" vertical="center"/>
    </xf>
    <xf numFmtId="3" fontId="10" fillId="5" borderId="99" xfId="2" applyNumberFormat="1" applyFont="1" applyFill="1" applyBorder="1" applyAlignment="1">
      <alignment horizontal="center" vertical="center"/>
    </xf>
    <xf numFmtId="3" fontId="11" fillId="5" borderId="104" xfId="2" applyNumberFormat="1" applyFont="1" applyFill="1" applyBorder="1" applyAlignment="1">
      <alignment horizontal="center" vertical="center"/>
    </xf>
    <xf numFmtId="3" fontId="11" fillId="5" borderId="105" xfId="2" applyNumberFormat="1" applyFont="1" applyFill="1" applyBorder="1" applyAlignment="1">
      <alignment horizontal="center" vertical="center"/>
    </xf>
    <xf numFmtId="3" fontId="11" fillId="5" borderId="94" xfId="2" applyNumberFormat="1" applyFont="1" applyFill="1" applyBorder="1" applyAlignment="1">
      <alignment horizontal="center" vertical="center"/>
    </xf>
    <xf numFmtId="3" fontId="11" fillId="5" borderId="111" xfId="2" applyNumberFormat="1" applyFont="1" applyFill="1" applyBorder="1" applyAlignment="1">
      <alignment horizontal="center" vertical="center"/>
    </xf>
    <xf numFmtId="3" fontId="11" fillId="5" borderId="107" xfId="2" applyNumberFormat="1" applyFont="1" applyFill="1" applyBorder="1" applyAlignment="1">
      <alignment horizontal="center" vertical="center"/>
    </xf>
    <xf numFmtId="3" fontId="11" fillId="5" borderId="108" xfId="2" applyNumberFormat="1" applyFont="1" applyFill="1" applyBorder="1" applyAlignment="1">
      <alignment horizontal="center" vertical="center"/>
    </xf>
    <xf numFmtId="3" fontId="10" fillId="3" borderId="110" xfId="2" applyNumberFormat="1" applyFont="1" applyFill="1" applyBorder="1" applyAlignment="1">
      <alignment horizontal="left" vertical="center"/>
    </xf>
    <xf numFmtId="0" fontId="41" fillId="3" borderId="110" xfId="0" applyFont="1" applyFill="1" applyBorder="1" applyAlignment="1">
      <alignment horizontal="left" vertical="center"/>
    </xf>
    <xf numFmtId="3" fontId="5" fillId="3" borderId="0" xfId="2" applyNumberFormat="1" applyFont="1" applyFill="1" applyBorder="1" applyAlignment="1">
      <alignment horizontal="right" vertical="center"/>
    </xf>
    <xf numFmtId="3" fontId="27" fillId="5" borderId="98" xfId="2" applyNumberFormat="1" applyFont="1" applyFill="1" applyBorder="1" applyAlignment="1">
      <alignment horizontal="center" vertical="center"/>
    </xf>
    <xf numFmtId="3" fontId="27" fillId="5" borderId="99" xfId="2" applyNumberFormat="1" applyFont="1" applyFill="1" applyBorder="1" applyAlignment="1">
      <alignment horizontal="center" vertical="center"/>
    </xf>
    <xf numFmtId="3" fontId="27" fillId="5" borderId="83" xfId="2" applyNumberFormat="1" applyFont="1" applyFill="1" applyBorder="1" applyAlignment="1">
      <alignment horizontal="center" vertical="center"/>
    </xf>
    <xf numFmtId="3" fontId="27" fillId="5" borderId="4" xfId="2" applyNumberFormat="1" applyFont="1" applyFill="1" applyBorder="1" applyAlignment="1">
      <alignment horizontal="center" vertical="center"/>
    </xf>
    <xf numFmtId="3" fontId="27" fillId="5" borderId="18" xfId="2" applyNumberFormat="1" applyFont="1" applyFill="1" applyBorder="1" applyAlignment="1">
      <alignment horizontal="center" vertical="center"/>
    </xf>
    <xf numFmtId="3" fontId="27" fillId="5" borderId="37" xfId="2" applyNumberFormat="1" applyFont="1" applyFill="1" applyBorder="1" applyAlignment="1">
      <alignment horizontal="center" vertical="center"/>
    </xf>
    <xf numFmtId="3" fontId="44" fillId="3" borderId="1" xfId="2" applyNumberFormat="1" applyFont="1" applyFill="1" applyBorder="1" applyAlignment="1">
      <alignment horizontal="center" vertical="center"/>
    </xf>
    <xf numFmtId="3" fontId="44" fillId="3" borderId="6" xfId="2" applyNumberFormat="1" applyFont="1" applyFill="1" applyBorder="1" applyAlignment="1">
      <alignment horizontal="center" vertical="center"/>
    </xf>
    <xf numFmtId="1" fontId="77" fillId="3" borderId="10" xfId="2" applyNumberFormat="1" applyFont="1" applyFill="1" applyBorder="1" applyAlignment="1">
      <alignment horizontal="center" vertical="center" wrapText="1"/>
    </xf>
    <xf numFmtId="1" fontId="77" fillId="3" borderId="9" xfId="2" applyNumberFormat="1" applyFont="1" applyFill="1" applyBorder="1" applyAlignment="1">
      <alignment horizontal="center" vertical="center" wrapText="1"/>
    </xf>
    <xf numFmtId="1" fontId="77" fillId="3" borderId="5" xfId="2" applyNumberFormat="1" applyFont="1" applyFill="1" applyBorder="1" applyAlignment="1">
      <alignment horizontal="center" vertical="center" wrapText="1"/>
    </xf>
    <xf numFmtId="3" fontId="62" fillId="5" borderId="98" xfId="2" applyNumberFormat="1" applyFont="1" applyFill="1" applyBorder="1" applyAlignment="1">
      <alignment horizontal="center" vertical="center"/>
    </xf>
    <xf numFmtId="3" fontId="62" fillId="5" borderId="99" xfId="2" applyNumberFormat="1" applyFont="1" applyFill="1" applyBorder="1" applyAlignment="1">
      <alignment horizontal="center" vertical="center"/>
    </xf>
    <xf numFmtId="3" fontId="62" fillId="5" borderId="83" xfId="2" applyNumberFormat="1" applyFont="1" applyFill="1" applyBorder="1" applyAlignment="1">
      <alignment horizontal="center" vertical="center"/>
    </xf>
    <xf numFmtId="3" fontId="76" fillId="3" borderId="106" xfId="2" applyNumberFormat="1" applyFont="1" applyFill="1" applyBorder="1" applyAlignment="1">
      <alignment horizontal="center" vertical="center" wrapText="1"/>
    </xf>
    <xf numFmtId="3" fontId="76" fillId="3" borderId="107" xfId="2" applyNumberFormat="1" applyFont="1" applyFill="1" applyBorder="1" applyAlignment="1">
      <alignment horizontal="center" vertical="center" wrapText="1"/>
    </xf>
    <xf numFmtId="3" fontId="76" fillId="3" borderId="108" xfId="2" applyNumberFormat="1" applyFont="1" applyFill="1" applyBorder="1" applyAlignment="1">
      <alignment horizontal="center" vertical="center" wrapText="1"/>
    </xf>
    <xf numFmtId="3" fontId="13" fillId="3" borderId="106" xfId="2" applyNumberFormat="1" applyFont="1" applyFill="1" applyBorder="1" applyAlignment="1">
      <alignment horizontal="center" vertical="center" wrapText="1"/>
    </xf>
    <xf numFmtId="3" fontId="13" fillId="3" borderId="107" xfId="2" applyNumberFormat="1" applyFont="1" applyFill="1" applyBorder="1" applyAlignment="1">
      <alignment horizontal="center" vertical="center" wrapText="1"/>
    </xf>
    <xf numFmtId="3" fontId="13" fillId="3" borderId="108" xfId="2" applyNumberFormat="1" applyFont="1" applyFill="1" applyBorder="1" applyAlignment="1">
      <alignment horizontal="center" vertical="center" wrapText="1"/>
    </xf>
    <xf numFmtId="3" fontId="44" fillId="3" borderId="17" xfId="2" applyNumberFormat="1" applyFont="1" applyFill="1" applyBorder="1" applyAlignment="1">
      <alignment horizontal="center" vertical="center"/>
    </xf>
    <xf numFmtId="3" fontId="44" fillId="3" borderId="7" xfId="2" applyNumberFormat="1" applyFont="1" applyFill="1" applyBorder="1" applyAlignment="1">
      <alignment horizontal="center" vertical="center"/>
    </xf>
    <xf numFmtId="3" fontId="44" fillId="3" borderId="4" xfId="2" applyNumberFormat="1" applyFont="1" applyFill="1" applyBorder="1" applyAlignment="1">
      <alignment horizontal="center" vertical="center"/>
    </xf>
    <xf numFmtId="3" fontId="44" fillId="3" borderId="36" xfId="2" applyNumberFormat="1" applyFont="1" applyFill="1" applyBorder="1" applyAlignment="1">
      <alignment horizontal="center" vertical="center"/>
    </xf>
    <xf numFmtId="3" fontId="76" fillId="3" borderId="9" xfId="2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64" fillId="0" borderId="85" xfId="0" applyNumberFormat="1" applyFont="1" applyFill="1" applyBorder="1" applyAlignment="1">
      <alignment horizontal="right" vertical="center" shrinkToFit="1"/>
    </xf>
    <xf numFmtId="3" fontId="64" fillId="0" borderId="88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 vertical="center" shrinkToFit="1"/>
    </xf>
    <xf numFmtId="0" fontId="78" fillId="0" borderId="17" xfId="0" applyFont="1" applyFill="1" applyBorder="1" applyAlignment="1">
      <alignment horizontal="center" vertical="center" shrinkToFit="1"/>
    </xf>
    <xf numFmtId="0" fontId="78" fillId="0" borderId="22" xfId="0" applyFont="1" applyFill="1" applyBorder="1" applyAlignment="1">
      <alignment horizontal="center" vertical="center" shrinkToFit="1"/>
    </xf>
    <xf numFmtId="0" fontId="78" fillId="0" borderId="7" xfId="0" applyFont="1" applyFill="1" applyBorder="1" applyAlignment="1">
      <alignment horizontal="center" vertical="center" shrinkToFit="1"/>
    </xf>
    <xf numFmtId="0" fontId="64" fillId="0" borderId="15" xfId="0" applyFont="1" applyFill="1" applyBorder="1" applyAlignment="1">
      <alignment horizontal="left" vertical="center" shrinkToFit="1"/>
    </xf>
    <xf numFmtId="0" fontId="60" fillId="0" borderId="15" xfId="0" applyFont="1" applyFill="1" applyBorder="1" applyAlignment="1">
      <alignment horizontal="left" vertical="center" shrinkToFit="1"/>
    </xf>
    <xf numFmtId="0" fontId="64" fillId="0" borderId="15" xfId="0" applyFont="1" applyFill="1" applyBorder="1" applyAlignment="1">
      <alignment vertical="center" shrinkToFit="1"/>
    </xf>
    <xf numFmtId="0" fontId="60" fillId="0" borderId="15" xfId="0" applyFont="1" applyFill="1" applyBorder="1" applyAlignment="1">
      <alignment vertical="center" shrinkToFit="1"/>
    </xf>
  </cellXfs>
  <cellStyles count="4">
    <cellStyle name="Normál" xfId="0" builtinId="0"/>
    <cellStyle name="Normal_KARSZJ3" xfId="1"/>
    <cellStyle name="Normál_végső rend. képv.mód-sal" xfId="2"/>
    <cellStyle name="Normál_végső rend. képv.mód-sal 2" xf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38100</xdr:rowOff>
    </xdr:from>
    <xdr:to>
      <xdr:col>10</xdr:col>
      <xdr:colOff>428624</xdr:colOff>
      <xdr:row>3</xdr:row>
      <xdr:rowOff>114300</xdr:rowOff>
    </xdr:to>
    <xdr:sp macro="" textlink="">
      <xdr:nvSpPr>
        <xdr:cNvPr id="18434" name="AutoShape 1">
          <a:extLst>
            <a:ext uri="{FF2B5EF4-FFF2-40B4-BE49-F238E27FC236}">
              <a16:creationId xmlns:a16="http://schemas.microsoft.com/office/drawing/2014/main" xmlns="" id="{00000000-0008-0000-0000-000002480000}"/>
            </a:ext>
          </a:extLst>
        </xdr:cNvPr>
        <xdr:cNvSpPr>
          <a:spLocks noChangeArrowheads="1"/>
        </xdr:cNvSpPr>
      </xdr:nvSpPr>
      <xdr:spPr bwMode="auto">
        <a:xfrm>
          <a:off x="3486150" y="38100"/>
          <a:ext cx="4190999" cy="4000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melléklet </a:t>
          </a:r>
          <a:r>
            <a:rPr lang="hu-HU" sz="800" b="0" i="0" baseline="0">
              <a:effectLst/>
              <a:latin typeface="+mn-lt"/>
              <a:ea typeface="+mn-ea"/>
              <a:cs typeface="+mn-cs"/>
            </a:rPr>
            <a:t>a  </a:t>
          </a:r>
          <a:r>
            <a:rPr lang="hu-HU" sz="8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/2018. (   .)önkormányzati rendelethez</a:t>
          </a:r>
          <a:endParaRPr lang="hu-HU" sz="8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Tahoma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Csengőd Község Önkormányzata - ELŐIRÁNYZAT - FELHASZNÁLÁSI TERV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Az előirányzatok felhasználásának alakulásáról 2018. évben 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990600</xdr:colOff>
      <xdr:row>1</xdr:row>
      <xdr:rowOff>114300</xdr:rowOff>
    </xdr:from>
    <xdr:to>
      <xdr:col>3</xdr:col>
      <xdr:colOff>495300</xdr:colOff>
      <xdr:row>4</xdr:row>
      <xdr:rowOff>38100</xdr:rowOff>
    </xdr:to>
    <xdr:sp macro="" textlink="">
      <xdr:nvSpPr>
        <xdr:cNvPr id="2082" name="AutoShape 1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>
          <a:spLocks noChangeArrowheads="1"/>
        </xdr:cNvSpPr>
      </xdr:nvSpPr>
      <xdr:spPr bwMode="auto">
        <a:xfrm>
          <a:off x="1266825" y="276225"/>
          <a:ext cx="3695700" cy="4095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18288" rIns="18288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 melléklet a  </a:t>
          </a:r>
          <a:r>
            <a:rPr lang="hu-HU" sz="700" b="0" i="0" u="none" strike="noStrike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/</a:t>
          </a:r>
          <a:r>
            <a:rPr lang="hu-HU" sz="700" b="0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2018. (    .)</a:t>
          </a: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önkormányzati rendelethez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Csengőd Község 2018. ÉVI KÖLTSÉGVETÉSÉNEK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ÖSSZEVONT MÉRLEGE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895349</xdr:colOff>
      <xdr:row>0</xdr:row>
      <xdr:rowOff>85725</xdr:rowOff>
    </xdr:from>
    <xdr:to>
      <xdr:col>4</xdr:col>
      <xdr:colOff>4943474</xdr:colOff>
      <xdr:row>2</xdr:row>
      <xdr:rowOff>104775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628899" y="85725"/>
          <a:ext cx="4048125" cy="361950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melléklet a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/2018. (     .)önkormányzati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2018. ÉVI KÖLTSÉGVETÉSI BEVÉTELEK ÉS KIADÁSOK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0</xdr:row>
      <xdr:rowOff>133350</xdr:rowOff>
    </xdr:from>
    <xdr:to>
      <xdr:col>10</xdr:col>
      <xdr:colOff>381000</xdr:colOff>
      <xdr:row>2</xdr:row>
      <xdr:rowOff>142875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1743075" y="133350"/>
          <a:ext cx="5534025" cy="3714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melléklet 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/2018. (    .)önkormányzati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lnSpc>
              <a:spcPts val="700"/>
            </a:lnSpc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AZ ÖNKORMÁNYZAT ÁLTAL IRÁNYÍTOTT KÖLTSÉGVETÉSI SZERVEK  2018. ÉVI BEVÉTELEI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2162175</xdr:colOff>
      <xdr:row>0</xdr:row>
      <xdr:rowOff>133350</xdr:rowOff>
    </xdr:from>
    <xdr:to>
      <xdr:col>13</xdr:col>
      <xdr:colOff>38100</xdr:colOff>
      <xdr:row>3</xdr:row>
      <xdr:rowOff>47624</xdr:rowOff>
    </xdr:to>
    <xdr:sp macro="" textlink="">
      <xdr:nvSpPr>
        <xdr:cNvPr id="32769" name="AutoShape 1">
          <a:extLst>
            <a:ext uri="{FF2B5EF4-FFF2-40B4-BE49-F238E27FC236}">
              <a16:creationId xmlns:a16="http://schemas.microsoft.com/office/drawing/2014/main" xmlns="" id="{00000000-0008-0000-0400-000001800000}"/>
            </a:ext>
          </a:extLst>
        </xdr:cNvPr>
        <xdr:cNvSpPr>
          <a:spLocks noChangeArrowheads="1"/>
        </xdr:cNvSpPr>
      </xdr:nvSpPr>
      <xdr:spPr bwMode="auto">
        <a:xfrm>
          <a:off x="3028950" y="133350"/>
          <a:ext cx="5105400" cy="400049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5. melléklet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 /2018. (  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2018. ÉVI KÖLTSÉGVETÉSI KIADÁSOK</a:t>
          </a:r>
        </a:p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Címek, alcímek és kiemelt előirányzatok szerint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</xdr:row>
      <xdr:rowOff>57150</xdr:rowOff>
    </xdr:from>
    <xdr:to>
      <xdr:col>2</xdr:col>
      <xdr:colOff>5534025</xdr:colOff>
      <xdr:row>2</xdr:row>
      <xdr:rowOff>352425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581025" y="209550"/>
          <a:ext cx="5381625" cy="44767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hu-HU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6.  melléklet a </a:t>
          </a:r>
          <a:r>
            <a:rPr lang="hu-HU" sz="1000" b="0" i="0" baseline="0">
              <a:effectLst/>
              <a:latin typeface="+mn-lt"/>
              <a:ea typeface="+mn-ea"/>
              <a:cs typeface="+mn-cs"/>
            </a:rPr>
            <a:t>a  /2018. (   .)önkormányzati rendelethez</a:t>
          </a:r>
          <a:endParaRPr lang="hu-HU" sz="7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BERUHÁZÁSOK, FELÚJÍTÁSOK , EGYÉB FELHALMOZÁSI JELLEGŰ KIADÁSOK, FINANSZÍROZÁSI KIADÁSOK</a:t>
          </a:r>
        </a:p>
        <a:p>
          <a:pPr algn="ctr" rtl="0">
            <a:defRPr sz="1000"/>
          </a:pPr>
          <a:r>
            <a:rPr lang="hu-HU" sz="7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 beruházásonként, felújításonként 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LDOC~1/AppData/Local/Temp/9014%20&#214;nkorm&#225;nyzat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73">
          <cell r="J73">
            <v>2157657</v>
          </cell>
        </row>
        <row r="76">
          <cell r="J76">
            <v>1030171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view="pageBreakPreview" topLeftCell="A2" zoomScale="80" zoomScaleSheetLayoutView="80" workbookViewId="0">
      <selection activeCell="P5" sqref="P5:Q31"/>
    </sheetView>
  </sheetViews>
  <sheetFormatPr defaultColWidth="7.7109375" defaultRowHeight="12.75"/>
  <cols>
    <col min="1" max="1" width="3.140625" style="80" customWidth="1"/>
    <col min="2" max="2" width="32.140625" style="80" customWidth="1"/>
    <col min="3" max="3" width="11" style="80" customWidth="1"/>
    <col min="4" max="4" width="10.7109375" style="80" customWidth="1"/>
    <col min="5" max="5" width="13.28515625" style="80" customWidth="1"/>
    <col min="6" max="7" width="11.7109375" style="80" customWidth="1"/>
    <col min="8" max="8" width="11.5703125" style="80" customWidth="1"/>
    <col min="9" max="9" width="10.85546875" style="80" customWidth="1"/>
    <col min="10" max="10" width="12" style="80" customWidth="1"/>
    <col min="11" max="12" width="11.140625" style="80" customWidth="1"/>
    <col min="13" max="13" width="13.42578125" style="80" customWidth="1"/>
    <col min="14" max="14" width="10.5703125" style="80" customWidth="1"/>
    <col min="15" max="15" width="11.5703125" style="80" customWidth="1"/>
    <col min="16" max="16" width="15.85546875" style="1" customWidth="1"/>
    <col min="17" max="16384" width="7.7109375" style="1"/>
  </cols>
  <sheetData>
    <row r="1" spans="1:19">
      <c r="L1" s="800"/>
      <c r="M1" s="800"/>
      <c r="N1" s="800"/>
      <c r="O1" s="800"/>
    </row>
    <row r="2" spans="1:19">
      <c r="L2" s="219"/>
      <c r="M2" s="219"/>
      <c r="N2" s="219"/>
      <c r="O2" s="219"/>
    </row>
    <row r="4" spans="1:19" ht="13.5" customHeight="1" thickBot="1">
      <c r="L4" s="81"/>
      <c r="O4" s="82"/>
    </row>
    <row r="5" spans="1:19" ht="17.25" customHeight="1" thickBot="1">
      <c r="A5" s="801" t="s">
        <v>1</v>
      </c>
      <c r="B5" s="802"/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3"/>
    </row>
    <row r="6" spans="1:19" s="2" customFormat="1">
      <c r="A6" s="86"/>
      <c r="B6" s="83"/>
      <c r="C6" s="87" t="s">
        <v>2</v>
      </c>
      <c r="D6" s="87" t="s">
        <v>3</v>
      </c>
      <c r="E6" s="87" t="s">
        <v>4</v>
      </c>
      <c r="F6" s="87" t="s">
        <v>5</v>
      </c>
      <c r="G6" s="87" t="s">
        <v>6</v>
      </c>
      <c r="H6" s="87" t="s">
        <v>7</v>
      </c>
      <c r="I6" s="87" t="s">
        <v>8</v>
      </c>
      <c r="J6" s="87" t="s">
        <v>9</v>
      </c>
      <c r="K6" s="87" t="s">
        <v>10</v>
      </c>
      <c r="L6" s="87" t="s">
        <v>11</v>
      </c>
      <c r="M6" s="87" t="s">
        <v>12</v>
      </c>
      <c r="N6" s="87" t="s">
        <v>13</v>
      </c>
      <c r="O6" s="101" t="s">
        <v>14</v>
      </c>
      <c r="Q6" s="107"/>
    </row>
    <row r="7" spans="1:19" ht="15" customHeight="1">
      <c r="A7" s="177" t="s">
        <v>15</v>
      </c>
      <c r="B7" s="178" t="s">
        <v>71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80">
        <f>'2 mérleg'!C12+'2 mérleg'!D12</f>
        <v>0</v>
      </c>
      <c r="P7" s="37"/>
      <c r="Q7" s="37"/>
      <c r="R7" s="37"/>
      <c r="S7" s="37"/>
    </row>
    <row r="8" spans="1:19" ht="25.5" customHeight="1">
      <c r="A8" s="181" t="s">
        <v>16</v>
      </c>
      <c r="B8" s="182" t="s">
        <v>159</v>
      </c>
      <c r="C8" s="183">
        <f>O8/12</f>
        <v>20954800.43</v>
      </c>
      <c r="D8" s="183">
        <v>20773567</v>
      </c>
      <c r="E8" s="183">
        <v>20773567</v>
      </c>
      <c r="F8" s="183">
        <f>20773567+570442</f>
        <v>21344009</v>
      </c>
      <c r="G8" s="183">
        <v>20773567</v>
      </c>
      <c r="H8" s="183">
        <f>20773567+270000</f>
        <v>21043567</v>
      </c>
      <c r="I8" s="183">
        <f>20773567+270000</f>
        <v>21043567</v>
      </c>
      <c r="J8" s="183">
        <f t="shared" ref="J8:L8" si="0">20773567+270000</f>
        <v>21043567</v>
      </c>
      <c r="K8" s="183">
        <f t="shared" si="0"/>
        <v>21043567</v>
      </c>
      <c r="L8" s="183">
        <f t="shared" si="0"/>
        <v>21043567</v>
      </c>
      <c r="M8" s="183">
        <f>20773567+74281</f>
        <v>20847848</v>
      </c>
      <c r="N8" s="183">
        <f>20773567-1155</f>
        <v>20772412</v>
      </c>
      <c r="O8" s="184">
        <f>'2 mérleg'!E22</f>
        <v>251457605.16</v>
      </c>
      <c r="P8" s="37"/>
      <c r="Q8" s="37"/>
      <c r="R8" s="37"/>
      <c r="S8" s="37"/>
    </row>
    <row r="9" spans="1:19" ht="30" customHeight="1">
      <c r="A9" s="181" t="s">
        <v>17</v>
      </c>
      <c r="B9" s="185" t="s">
        <v>160</v>
      </c>
      <c r="C9" s="179"/>
      <c r="D9" s="179"/>
      <c r="E9" s="179">
        <f>'3 bevételek'!H190+'3 bevételek'!H191</f>
        <v>214204250</v>
      </c>
      <c r="F9" s="179">
        <f>'3 bevételek'!H192</f>
        <v>1306068</v>
      </c>
      <c r="G9" s="179"/>
      <c r="H9" s="179"/>
      <c r="I9" s="179"/>
      <c r="J9" s="179"/>
      <c r="K9" s="179"/>
      <c r="L9" s="179"/>
      <c r="M9" s="179"/>
      <c r="N9" s="183"/>
      <c r="O9" s="184">
        <f>'2 mérleg'!E23</f>
        <v>215510318</v>
      </c>
      <c r="P9" s="37"/>
      <c r="Q9" s="37"/>
      <c r="R9" s="37"/>
      <c r="S9" s="37"/>
    </row>
    <row r="10" spans="1:19">
      <c r="A10" s="181" t="s">
        <v>18</v>
      </c>
      <c r="B10" s="182" t="s">
        <v>70</v>
      </c>
      <c r="C10" s="183"/>
      <c r="D10" s="183"/>
      <c r="E10" s="183">
        <v>13700000</v>
      </c>
      <c r="F10" s="183"/>
      <c r="G10" s="183"/>
      <c r="H10" s="183"/>
      <c r="I10" s="183"/>
      <c r="J10" s="183"/>
      <c r="K10" s="183">
        <v>13700000</v>
      </c>
      <c r="L10" s="183"/>
      <c r="M10" s="183"/>
      <c r="N10" s="183">
        <v>3400000</v>
      </c>
      <c r="O10" s="184">
        <f>'2 mérleg'!E24</f>
        <v>30800000</v>
      </c>
      <c r="P10" s="37"/>
      <c r="Q10" s="37"/>
      <c r="R10" s="37"/>
      <c r="S10" s="37"/>
    </row>
    <row r="11" spans="1:19">
      <c r="A11" s="181" t="s">
        <v>19</v>
      </c>
      <c r="B11" s="182" t="s">
        <v>161</v>
      </c>
      <c r="C11" s="183">
        <f>27851113/12</f>
        <v>2320926.0833333335</v>
      </c>
      <c r="D11" s="183">
        <f t="shared" ref="D11:G11" si="1">27851113/12</f>
        <v>2320926.0833333335</v>
      </c>
      <c r="E11" s="183">
        <f t="shared" si="1"/>
        <v>2320926.0833333335</v>
      </c>
      <c r="F11" s="183">
        <f t="shared" si="1"/>
        <v>2320926.0833333335</v>
      </c>
      <c r="G11" s="183">
        <f t="shared" si="1"/>
        <v>2320926.0833333335</v>
      </c>
      <c r="H11" s="183">
        <f>27851113/12+476126</f>
        <v>2797052.0833333335</v>
      </c>
      <c r="I11" s="183">
        <f t="shared" ref="I11:L11" si="2">27851113/12+476126</f>
        <v>2797052.0833333335</v>
      </c>
      <c r="J11" s="183">
        <f t="shared" si="2"/>
        <v>2797052.0833333335</v>
      </c>
      <c r="K11" s="183">
        <f t="shared" si="2"/>
        <v>2797052.0833333335</v>
      </c>
      <c r="L11" s="183">
        <f t="shared" si="2"/>
        <v>2797052.0833333335</v>
      </c>
      <c r="M11" s="183">
        <f>27851113/12+476126-2</f>
        <v>2797050.0833333335</v>
      </c>
      <c r="N11" s="183">
        <f>27851113/12+1000000</f>
        <v>3320926.0833333335</v>
      </c>
      <c r="O11" s="184">
        <f>'2 mérleg'!E25+'2 mérleg'!C20</f>
        <v>31707867.181102362</v>
      </c>
      <c r="P11" s="37"/>
      <c r="Q11" s="37"/>
      <c r="R11" s="37"/>
      <c r="S11" s="37"/>
    </row>
    <row r="12" spans="1:19" ht="13.5" customHeight="1">
      <c r="A12" s="181" t="s">
        <v>20</v>
      </c>
      <c r="B12" s="182" t="s">
        <v>162</v>
      </c>
      <c r="C12" s="183"/>
      <c r="D12" s="183"/>
      <c r="E12" s="183"/>
      <c r="F12" s="183">
        <v>150000</v>
      </c>
      <c r="G12" s="183">
        <v>1200000</v>
      </c>
      <c r="H12" s="183">
        <v>232900</v>
      </c>
      <c r="I12" s="183">
        <v>1490100</v>
      </c>
      <c r="J12" s="183"/>
      <c r="K12" s="183"/>
      <c r="L12" s="183"/>
      <c r="M12" s="183"/>
      <c r="N12" s="183"/>
      <c r="O12" s="184">
        <f>'2 mérleg'!E26+'2 mérleg'!D20</f>
        <v>3073000</v>
      </c>
      <c r="P12" s="37"/>
      <c r="Q12" s="37"/>
      <c r="R12" s="37"/>
      <c r="S12" s="37"/>
    </row>
    <row r="13" spans="1:19">
      <c r="A13" s="181" t="s">
        <v>21</v>
      </c>
      <c r="B13" s="182" t="s">
        <v>158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>
        <f>'2 mérleg'!E27</f>
        <v>0</v>
      </c>
      <c r="P13" s="37"/>
      <c r="Q13" s="37"/>
      <c r="R13" s="37"/>
      <c r="S13" s="37"/>
    </row>
    <row r="14" spans="1:19" ht="13.5" customHeight="1">
      <c r="A14" s="181" t="s">
        <v>22</v>
      </c>
      <c r="B14" s="182" t="s">
        <v>157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4">
        <f>'2 mérleg'!E28</f>
        <v>0</v>
      </c>
      <c r="P14" s="37"/>
      <c r="Q14" s="37"/>
      <c r="R14" s="37"/>
      <c r="S14" s="37"/>
    </row>
    <row r="15" spans="1:19" ht="13.5" thickBot="1">
      <c r="A15" s="181" t="s">
        <v>23</v>
      </c>
      <c r="B15" s="182" t="s">
        <v>98</v>
      </c>
      <c r="C15" s="183">
        <f>295488846/12+7794568+303165+202567+754621</f>
        <v>33678991.5</v>
      </c>
      <c r="D15" s="183">
        <f t="shared" ref="D15:N15" si="3">295488846/12</f>
        <v>24624070.5</v>
      </c>
      <c r="E15" s="183">
        <f t="shared" si="3"/>
        <v>24624070.5</v>
      </c>
      <c r="F15" s="183">
        <f t="shared" si="3"/>
        <v>24624070.5</v>
      </c>
      <c r="G15" s="183">
        <f t="shared" si="3"/>
        <v>24624070.5</v>
      </c>
      <c r="H15" s="183">
        <f t="shared" si="3"/>
        <v>24624070.5</v>
      </c>
      <c r="I15" s="183">
        <f t="shared" si="3"/>
        <v>24624070.5</v>
      </c>
      <c r="J15" s="183">
        <f t="shared" si="3"/>
        <v>24624070.5</v>
      </c>
      <c r="K15" s="183">
        <f t="shared" si="3"/>
        <v>24624070.5</v>
      </c>
      <c r="L15" s="183">
        <f t="shared" si="3"/>
        <v>24624070.5</v>
      </c>
      <c r="M15" s="183">
        <f t="shared" si="3"/>
        <v>24624070.5</v>
      </c>
      <c r="N15" s="183">
        <f t="shared" si="3"/>
        <v>24624070.5</v>
      </c>
      <c r="O15" s="184">
        <f>'2 mérleg'!E32</f>
        <v>304543767</v>
      </c>
      <c r="P15" s="37"/>
      <c r="Q15" s="37"/>
      <c r="R15" s="37"/>
      <c r="S15" s="37"/>
    </row>
    <row r="16" spans="1:19" s="3" customFormat="1" ht="14.25" thickTop="1" thickBot="1">
      <c r="A16" s="804" t="s">
        <v>14</v>
      </c>
      <c r="B16" s="805"/>
      <c r="C16" s="186">
        <f>SUM(C7:C15)</f>
        <v>56954718.013333336</v>
      </c>
      <c r="D16" s="186">
        <f t="shared" ref="D16:N16" si="4">SUM(D7:D15)</f>
        <v>47718563.583333328</v>
      </c>
      <c r="E16" s="186">
        <f t="shared" si="4"/>
        <v>275622813.58333337</v>
      </c>
      <c r="F16" s="186">
        <f t="shared" si="4"/>
        <v>49745073.583333328</v>
      </c>
      <c r="G16" s="186">
        <f>SUM(G7:G15)</f>
        <v>48918563.583333328</v>
      </c>
      <c r="H16" s="186">
        <f t="shared" si="4"/>
        <v>48697589.583333328</v>
      </c>
      <c r="I16" s="186">
        <f t="shared" si="4"/>
        <v>49954789.583333328</v>
      </c>
      <c r="J16" s="186">
        <f t="shared" si="4"/>
        <v>48464689.583333328</v>
      </c>
      <c r="K16" s="186">
        <f t="shared" si="4"/>
        <v>62164689.583333336</v>
      </c>
      <c r="L16" s="186">
        <f t="shared" si="4"/>
        <v>48464689.583333328</v>
      </c>
      <c r="M16" s="186">
        <f t="shared" si="4"/>
        <v>48268968.583333328</v>
      </c>
      <c r="N16" s="186">
        <f t="shared" si="4"/>
        <v>52117408.583333328</v>
      </c>
      <c r="O16" s="187">
        <f>SUM(O7:O15)</f>
        <v>837092557.34110236</v>
      </c>
      <c r="P16" s="37"/>
      <c r="Q16" s="37"/>
      <c r="R16" s="37"/>
      <c r="S16" s="37"/>
    </row>
    <row r="17" spans="1:19" ht="7.5" customHeight="1" thickTop="1" thickBot="1">
      <c r="A17" s="188"/>
      <c r="B17" s="189"/>
      <c r="C17" s="190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2"/>
      <c r="P17" s="37"/>
      <c r="Q17" s="37"/>
      <c r="R17" s="37"/>
      <c r="S17" s="37"/>
    </row>
    <row r="18" spans="1:19" ht="3.75" customHeight="1">
      <c r="A18" s="193"/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  <c r="P18" s="37"/>
      <c r="Q18" s="37"/>
      <c r="R18" s="37"/>
      <c r="S18" s="37"/>
    </row>
    <row r="19" spans="1:19" ht="7.5" customHeight="1" thickBot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5" t="s">
        <v>59</v>
      </c>
      <c r="P19" s="37"/>
      <c r="Q19" s="37"/>
      <c r="R19" s="37"/>
      <c r="S19" s="37"/>
    </row>
    <row r="20" spans="1:19" ht="16.5" customHeight="1" thickBot="1">
      <c r="A20" s="806" t="s">
        <v>24</v>
      </c>
      <c r="B20" s="807"/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8"/>
      <c r="P20" s="37"/>
      <c r="Q20" s="37"/>
      <c r="R20" s="37"/>
      <c r="S20" s="37"/>
    </row>
    <row r="21" spans="1:19" s="2" customFormat="1">
      <c r="A21" s="196"/>
      <c r="B21" s="197"/>
      <c r="C21" s="198" t="s">
        <v>2</v>
      </c>
      <c r="D21" s="198" t="s">
        <v>3</v>
      </c>
      <c r="E21" s="198" t="s">
        <v>4</v>
      </c>
      <c r="F21" s="198" t="s">
        <v>5</v>
      </c>
      <c r="G21" s="198" t="s">
        <v>6</v>
      </c>
      <c r="H21" s="198" t="s">
        <v>7</v>
      </c>
      <c r="I21" s="198" t="s">
        <v>8</v>
      </c>
      <c r="J21" s="198" t="s">
        <v>9</v>
      </c>
      <c r="K21" s="198" t="s">
        <v>10</v>
      </c>
      <c r="L21" s="198" t="s">
        <v>11</v>
      </c>
      <c r="M21" s="198" t="s">
        <v>12</v>
      </c>
      <c r="N21" s="198" t="s">
        <v>13</v>
      </c>
      <c r="O21" s="199" t="s">
        <v>14</v>
      </c>
      <c r="P21" s="37"/>
      <c r="Q21" s="37"/>
      <c r="R21" s="37"/>
      <c r="S21" s="37"/>
    </row>
    <row r="22" spans="1:19">
      <c r="A22" s="200" t="s">
        <v>15</v>
      </c>
      <c r="B22" s="201" t="s">
        <v>25</v>
      </c>
      <c r="C22" s="202">
        <f>152525218/12-(775000/12)-53365+100000+50000</f>
        <v>12742486.5</v>
      </c>
      <c r="D22" s="202">
        <f t="shared" ref="D22:M22" si="5">152525218/12-(775000/12)-53365+100000+50000</f>
        <v>12742486.5</v>
      </c>
      <c r="E22" s="202">
        <f t="shared" si="5"/>
        <v>12742486.5</v>
      </c>
      <c r="F22" s="202">
        <f t="shared" si="5"/>
        <v>12742486.5</v>
      </c>
      <c r="G22" s="202">
        <f t="shared" si="5"/>
        <v>12742486.5</v>
      </c>
      <c r="H22" s="202">
        <f t="shared" si="5"/>
        <v>12742486.5</v>
      </c>
      <c r="I22" s="202">
        <f t="shared" si="5"/>
        <v>12742486.5</v>
      </c>
      <c r="J22" s="202">
        <f t="shared" si="5"/>
        <v>12742486.5</v>
      </c>
      <c r="K22" s="202">
        <f t="shared" si="5"/>
        <v>12742486.5</v>
      </c>
      <c r="L22" s="202">
        <f t="shared" si="5"/>
        <v>12742486.5</v>
      </c>
      <c r="M22" s="202">
        <f t="shared" si="5"/>
        <v>12742486.5</v>
      </c>
      <c r="N22" s="202">
        <f>152525218/12-(775000/12)-53365+100000+50000-12185-1660316</f>
        <v>11069985.5</v>
      </c>
      <c r="O22" s="203">
        <f>'2 mérleg'!E45</f>
        <v>151237337</v>
      </c>
      <c r="P22" s="37"/>
      <c r="Q22" s="37"/>
      <c r="R22" s="37"/>
      <c r="S22" s="37"/>
    </row>
    <row r="23" spans="1:19" ht="25.5">
      <c r="A23" s="204" t="s">
        <v>16</v>
      </c>
      <c r="B23" s="134" t="s">
        <v>74</v>
      </c>
      <c r="C23" s="205">
        <f>28652656/12+(170544/12)+25000+5000</f>
        <v>2431933.3333333335</v>
      </c>
      <c r="D23" s="205">
        <f t="shared" ref="D23:M23" si="6">28652656/12+(170544/12)+25000+5000</f>
        <v>2431933.3333333335</v>
      </c>
      <c r="E23" s="205">
        <f t="shared" si="6"/>
        <v>2431933.3333333335</v>
      </c>
      <c r="F23" s="205">
        <f t="shared" si="6"/>
        <v>2431933.3333333335</v>
      </c>
      <c r="G23" s="205">
        <f t="shared" si="6"/>
        <v>2431933.3333333335</v>
      </c>
      <c r="H23" s="205">
        <f t="shared" si="6"/>
        <v>2431933.3333333335</v>
      </c>
      <c r="I23" s="205">
        <f t="shared" si="6"/>
        <v>2431933.3333333335</v>
      </c>
      <c r="J23" s="205">
        <f t="shared" si="6"/>
        <v>2431933.3333333335</v>
      </c>
      <c r="K23" s="205">
        <f t="shared" si="6"/>
        <v>2431933.3333333335</v>
      </c>
      <c r="L23" s="205">
        <f t="shared" si="6"/>
        <v>2431933.3333333335</v>
      </c>
      <c r="M23" s="205">
        <f t="shared" si="6"/>
        <v>2431933.3333333335</v>
      </c>
      <c r="N23" s="205">
        <f>28652656/12+(170544/12)+25000-68814+5000-103789</f>
        <v>2259330.3333333335</v>
      </c>
      <c r="O23" s="206">
        <f>'2 mérleg'!E46</f>
        <v>29010597.32</v>
      </c>
      <c r="P23" s="37"/>
      <c r="Q23" s="37"/>
      <c r="R23" s="37"/>
      <c r="S23" s="37"/>
    </row>
    <row r="24" spans="1:19">
      <c r="A24" s="204" t="s">
        <v>17</v>
      </c>
      <c r="B24" s="207" t="s">
        <v>26</v>
      </c>
      <c r="C24" s="205">
        <f>105517465/12+303590</f>
        <v>9096712.083333334</v>
      </c>
      <c r="D24" s="205">
        <f t="shared" ref="D24:M24" si="7">105517465/12+303590</f>
        <v>9096712.083333334</v>
      </c>
      <c r="E24" s="205">
        <f t="shared" si="7"/>
        <v>9096712.083333334</v>
      </c>
      <c r="F24" s="205">
        <f t="shared" si="7"/>
        <v>9096712.083333334</v>
      </c>
      <c r="G24" s="205">
        <f t="shared" si="7"/>
        <v>9096712.083333334</v>
      </c>
      <c r="H24" s="205">
        <f t="shared" si="7"/>
        <v>9096712.083333334</v>
      </c>
      <c r="I24" s="205">
        <f t="shared" si="7"/>
        <v>9096712.083333334</v>
      </c>
      <c r="J24" s="205">
        <f t="shared" si="7"/>
        <v>9096712.083333334</v>
      </c>
      <c r="K24" s="205">
        <f t="shared" si="7"/>
        <v>9096712.083333334</v>
      </c>
      <c r="L24" s="205">
        <f t="shared" si="7"/>
        <v>9096712.083333334</v>
      </c>
      <c r="M24" s="205">
        <f t="shared" si="7"/>
        <v>9096712.083333334</v>
      </c>
      <c r="N24" s="205">
        <f>105517465/12-129006+250000</f>
        <v>8914116.083333334</v>
      </c>
      <c r="O24" s="206">
        <f>'2 mérleg'!E47</f>
        <v>108977949</v>
      </c>
      <c r="P24" s="37"/>
      <c r="Q24" s="37"/>
      <c r="R24" s="37"/>
      <c r="S24" s="37"/>
    </row>
    <row r="25" spans="1:19">
      <c r="A25" s="208" t="s">
        <v>18</v>
      </c>
      <c r="B25" s="209" t="s">
        <v>60</v>
      </c>
      <c r="C25" s="202">
        <f>1400000/9</f>
        <v>155555.55555555556</v>
      </c>
      <c r="D25" s="202">
        <f t="shared" ref="D25:I25" si="8">1400000/9</f>
        <v>155555.55555555556</v>
      </c>
      <c r="E25" s="202">
        <f t="shared" si="8"/>
        <v>155555.55555555556</v>
      </c>
      <c r="F25" s="202">
        <f t="shared" si="8"/>
        <v>155555.55555555556</v>
      </c>
      <c r="G25" s="202">
        <f t="shared" si="8"/>
        <v>155555.55555555556</v>
      </c>
      <c r="H25" s="202">
        <f t="shared" si="8"/>
        <v>155555.55555555556</v>
      </c>
      <c r="I25" s="202">
        <f t="shared" si="8"/>
        <v>155555.55555555556</v>
      </c>
      <c r="J25" s="202">
        <f>500000+909500</f>
        <v>1409500</v>
      </c>
      <c r="K25" s="202">
        <f t="shared" ref="K25:L25" si="9">1400000/9</f>
        <v>155555.55555555556</v>
      </c>
      <c r="L25" s="202">
        <f t="shared" si="9"/>
        <v>155555.55555555556</v>
      </c>
      <c r="M25" s="202">
        <f>909500-318770</f>
        <v>590730</v>
      </c>
      <c r="N25" s="202">
        <f>200000</f>
        <v>200000</v>
      </c>
      <c r="O25" s="203">
        <f>'2 mérleg'!C48</f>
        <v>3600230</v>
      </c>
      <c r="P25" s="37"/>
      <c r="Q25" s="37"/>
      <c r="R25" s="37"/>
      <c r="S25" s="37"/>
    </row>
    <row r="26" spans="1:19" ht="13.5" customHeight="1">
      <c r="A26" s="208" t="s">
        <v>19</v>
      </c>
      <c r="B26" s="135" t="s">
        <v>66</v>
      </c>
      <c r="C26" s="202">
        <f>6573411/12</f>
        <v>547784.25</v>
      </c>
      <c r="D26" s="202">
        <f t="shared" ref="D26:L26" si="10">6573411/12</f>
        <v>547784.25</v>
      </c>
      <c r="E26" s="202">
        <f t="shared" si="10"/>
        <v>547784.25</v>
      </c>
      <c r="F26" s="202">
        <f t="shared" si="10"/>
        <v>547784.25</v>
      </c>
      <c r="G26" s="202">
        <f t="shared" si="10"/>
        <v>547784.25</v>
      </c>
      <c r="H26" s="202">
        <f t="shared" si="10"/>
        <v>547784.25</v>
      </c>
      <c r="I26" s="202">
        <f t="shared" si="10"/>
        <v>547784.25</v>
      </c>
      <c r="J26" s="202">
        <f t="shared" si="10"/>
        <v>547784.25</v>
      </c>
      <c r="K26" s="202">
        <f t="shared" si="10"/>
        <v>547784.25</v>
      </c>
      <c r="L26" s="202">
        <f t="shared" si="10"/>
        <v>547784.25</v>
      </c>
      <c r="M26" s="202">
        <f>6573411/12+100000+3976664</f>
        <v>4624448.25</v>
      </c>
      <c r="N26" s="202">
        <f>6573411/12+10849+955924</f>
        <v>1514557.25</v>
      </c>
      <c r="O26" s="203">
        <f>'2 mérleg'!C49</f>
        <v>11616848</v>
      </c>
      <c r="P26" s="37"/>
      <c r="Q26" s="37"/>
      <c r="R26" s="37"/>
      <c r="S26" s="37"/>
    </row>
    <row r="27" spans="1:19" ht="14.25" customHeight="1">
      <c r="A27" s="208" t="s">
        <v>20</v>
      </c>
      <c r="B27" s="136" t="s">
        <v>36</v>
      </c>
      <c r="C27" s="202"/>
      <c r="D27" s="202">
        <v>250000</v>
      </c>
      <c r="E27" s="202">
        <v>188000</v>
      </c>
      <c r="F27" s="270"/>
      <c r="G27" s="271">
        <v>3000000</v>
      </c>
      <c r="H27" s="205"/>
      <c r="I27" s="202"/>
      <c r="J27" s="270">
        <v>2000000</v>
      </c>
      <c r="K27" s="202">
        <f>'6 beruházások'!D38+'6 beruházások'!D48+'6 beruházások'!D49+'6 beruházások'!D10</f>
        <v>184701004</v>
      </c>
      <c r="L27" s="202"/>
      <c r="M27" s="270"/>
      <c r="N27" s="202">
        <f>'6 beruházások'!D37+'6 beruházások'!D40+'6 beruházások'!D41+'6 beruházások'!D42-60950240+2504932</f>
        <v>99235805</v>
      </c>
      <c r="O27" s="203">
        <f>'2 mérleg'!D52</f>
        <v>289374809</v>
      </c>
      <c r="P27" s="37"/>
      <c r="Q27" s="37"/>
      <c r="R27" s="37"/>
      <c r="S27" s="37"/>
    </row>
    <row r="28" spans="1:19">
      <c r="A28" s="208" t="s">
        <v>21</v>
      </c>
      <c r="B28" s="210" t="s">
        <v>37</v>
      </c>
      <c r="C28" s="211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>
        <f>134725598</f>
        <v>134725598</v>
      </c>
      <c r="O28" s="206">
        <f>'2 mérleg'!D53</f>
        <v>134725598</v>
      </c>
      <c r="P28" s="37"/>
      <c r="Q28" s="37"/>
      <c r="R28" s="37"/>
      <c r="S28" s="37"/>
    </row>
    <row r="29" spans="1:19">
      <c r="A29" s="208" t="s">
        <v>22</v>
      </c>
      <c r="B29" s="137" t="s">
        <v>41</v>
      </c>
      <c r="C29" s="211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6">
        <f>'2 mérleg'!D54</f>
        <v>0</v>
      </c>
      <c r="P29" s="37"/>
      <c r="Q29" s="37"/>
      <c r="R29" s="37"/>
      <c r="S29" s="37"/>
    </row>
    <row r="30" spans="1:19" ht="14.25" customHeight="1" thickBot="1">
      <c r="A30" s="212" t="s">
        <v>23</v>
      </c>
      <c r="B30" s="213" t="s">
        <v>62</v>
      </c>
      <c r="C30" s="205">
        <f>100000000/12+7794568+754621</f>
        <v>16882522.333333332</v>
      </c>
      <c r="D30" s="205">
        <f t="shared" ref="D30:M30" si="11">100000000/12</f>
        <v>8333333.333333333</v>
      </c>
      <c r="E30" s="205">
        <f t="shared" si="11"/>
        <v>8333333.333333333</v>
      </c>
      <c r="F30" s="205">
        <f t="shared" si="11"/>
        <v>8333333.333333333</v>
      </c>
      <c r="G30" s="205">
        <f t="shared" si="11"/>
        <v>8333333.333333333</v>
      </c>
      <c r="H30" s="205">
        <f t="shared" si="11"/>
        <v>8333333.333333333</v>
      </c>
      <c r="I30" s="205">
        <f t="shared" si="11"/>
        <v>8333333.333333333</v>
      </c>
      <c r="J30" s="205">
        <f t="shared" si="11"/>
        <v>8333333.333333333</v>
      </c>
      <c r="K30" s="205">
        <f t="shared" si="11"/>
        <v>8333333.333333333</v>
      </c>
      <c r="L30" s="205">
        <f t="shared" si="11"/>
        <v>8333333.333333333</v>
      </c>
      <c r="M30" s="205">
        <f t="shared" si="11"/>
        <v>8333333.333333333</v>
      </c>
      <c r="N30" s="205">
        <f>100000000/12</f>
        <v>8333333.333333333</v>
      </c>
      <c r="O30" s="214">
        <f>'2 mérleg'!E58</f>
        <v>108549189</v>
      </c>
      <c r="P30" s="37"/>
      <c r="Q30" s="37"/>
      <c r="R30" s="37"/>
      <c r="S30" s="37"/>
    </row>
    <row r="31" spans="1:19" ht="14.25" thickTop="1" thickBot="1">
      <c r="A31" s="798" t="s">
        <v>14</v>
      </c>
      <c r="B31" s="799"/>
      <c r="C31" s="215">
        <f>SUM(C22:C30)</f>
        <v>41856994.055555552</v>
      </c>
      <c r="D31" s="215">
        <f t="shared" ref="D31:O31" si="12">SUM(D22:D30)</f>
        <v>33557805.05555556</v>
      </c>
      <c r="E31" s="215">
        <f t="shared" si="12"/>
        <v>33495805.055555556</v>
      </c>
      <c r="F31" s="215">
        <f t="shared" si="12"/>
        <v>33307805.055555556</v>
      </c>
      <c r="G31" s="215">
        <f t="shared" si="12"/>
        <v>36307805.05555556</v>
      </c>
      <c r="H31" s="215">
        <f t="shared" si="12"/>
        <v>33307805.055555556</v>
      </c>
      <c r="I31" s="215">
        <f t="shared" si="12"/>
        <v>33307805.055555556</v>
      </c>
      <c r="J31" s="215">
        <f t="shared" si="12"/>
        <v>36561749.5</v>
      </c>
      <c r="K31" s="215">
        <f t="shared" si="12"/>
        <v>218008809.05555555</v>
      </c>
      <c r="L31" s="215">
        <f t="shared" si="12"/>
        <v>33307805.055555556</v>
      </c>
      <c r="M31" s="215">
        <f t="shared" si="12"/>
        <v>37819643.5</v>
      </c>
      <c r="N31" s="215">
        <f t="shared" si="12"/>
        <v>266252725.50000003</v>
      </c>
      <c r="O31" s="216">
        <f t="shared" si="12"/>
        <v>837092557.31999993</v>
      </c>
      <c r="P31" s="37"/>
      <c r="Q31" s="37"/>
      <c r="R31" s="37"/>
      <c r="S31" s="37"/>
    </row>
    <row r="32" spans="1:19" ht="7.5" customHeight="1">
      <c r="A32" s="85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37"/>
      <c r="Q32" s="37"/>
      <c r="R32" s="37"/>
      <c r="S32" s="37"/>
    </row>
    <row r="33" spans="3:19">
      <c r="O33" s="89"/>
      <c r="S33" s="37"/>
    </row>
    <row r="34" spans="3:19"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37"/>
      <c r="S34" s="37"/>
    </row>
    <row r="35" spans="3:19"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Q35" s="37"/>
    </row>
    <row r="36" spans="3:19"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</sheetData>
  <mergeCells count="5">
    <mergeCell ref="A31:B31"/>
    <mergeCell ref="L1:O1"/>
    <mergeCell ref="A5:O5"/>
    <mergeCell ref="A16:B16"/>
    <mergeCell ref="A20:O20"/>
  </mergeCells>
  <phoneticPr fontId="0" type="noConversion"/>
  <printOptions horizontalCentered="1" verticalCentered="1"/>
  <pageMargins left="0.74803149606299213" right="0.74803149606299213" top="0.78740157480314965" bottom="0.78740157480314965" header="0.51181102362204722" footer="0.51181102362204722"/>
  <pageSetup paperSize="9" scale="71" orientation="landscape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view="pageBreakPreview" topLeftCell="A26" zoomScaleSheetLayoutView="100" workbookViewId="0">
      <selection activeCell="H35" sqref="H35"/>
    </sheetView>
  </sheetViews>
  <sheetFormatPr defaultRowHeight="12.75"/>
  <cols>
    <col min="1" max="1" width="4.140625" style="42" customWidth="1"/>
    <col min="2" max="2" width="51.42578125" style="43" customWidth="1"/>
    <col min="3" max="3" width="11.42578125" style="78" customWidth="1"/>
    <col min="4" max="4" width="11.5703125" style="78" customWidth="1"/>
    <col min="5" max="5" width="11.7109375" style="79" customWidth="1"/>
    <col min="6" max="16384" width="9.140625" style="4"/>
  </cols>
  <sheetData>
    <row r="1" spans="1:6" ht="12.75" customHeight="1">
      <c r="C1" s="825"/>
      <c r="D1" s="825"/>
      <c r="E1" s="825"/>
      <c r="F1" s="105"/>
    </row>
    <row r="6" spans="1:6" ht="13.5" thickBot="1">
      <c r="C6" s="44"/>
      <c r="D6" s="44"/>
      <c r="E6" s="45"/>
    </row>
    <row r="7" spans="1:6" ht="5.25" customHeight="1">
      <c r="A7" s="46"/>
      <c r="B7" s="47"/>
      <c r="C7" s="48"/>
      <c r="D7" s="48"/>
      <c r="E7" s="49"/>
    </row>
    <row r="8" spans="1:6" s="5" customFormat="1">
      <c r="A8" s="820" t="s">
        <v>27</v>
      </c>
      <c r="B8" s="821"/>
      <c r="C8" s="50" t="s">
        <v>28</v>
      </c>
      <c r="D8" s="50" t="s">
        <v>29</v>
      </c>
      <c r="E8" s="822" t="s">
        <v>30</v>
      </c>
    </row>
    <row r="9" spans="1:6" s="5" customFormat="1">
      <c r="A9" s="820"/>
      <c r="B9" s="821"/>
      <c r="C9" s="50" t="s">
        <v>31</v>
      </c>
      <c r="D9" s="50" t="s">
        <v>31</v>
      </c>
      <c r="E9" s="822"/>
    </row>
    <row r="10" spans="1:6" ht="4.5" customHeight="1" thickBot="1">
      <c r="A10" s="51"/>
      <c r="B10" s="52"/>
      <c r="C10" s="53"/>
      <c r="D10" s="53"/>
      <c r="E10" s="54"/>
    </row>
    <row r="11" spans="1:6" ht="13.5" customHeight="1" thickBot="1">
      <c r="A11" s="815" t="s">
        <v>32</v>
      </c>
      <c r="B11" s="816"/>
      <c r="C11" s="816"/>
      <c r="D11" s="816"/>
      <c r="E11" s="817"/>
    </row>
    <row r="12" spans="1:6" s="6" customFormat="1" ht="25.5" customHeight="1">
      <c r="A12" s="143" t="s">
        <v>33</v>
      </c>
      <c r="B12" s="55" t="s">
        <v>210</v>
      </c>
      <c r="C12" s="149"/>
      <c r="D12" s="149"/>
      <c r="E12" s="150"/>
    </row>
    <row r="13" spans="1:6" s="6" customFormat="1" ht="12.75" customHeight="1">
      <c r="A13" s="57" t="s">
        <v>15</v>
      </c>
      <c r="B13" s="58" t="s">
        <v>159</v>
      </c>
      <c r="C13" s="220"/>
      <c r="D13" s="220">
        <f>'3 bevételek'!G21</f>
        <v>0</v>
      </c>
      <c r="E13" s="180">
        <f>C13+D13</f>
        <v>0</v>
      </c>
    </row>
    <row r="14" spans="1:6" s="6" customFormat="1" ht="13.5" customHeight="1">
      <c r="A14" s="57" t="s">
        <v>16</v>
      </c>
      <c r="B14" s="60" t="s">
        <v>160</v>
      </c>
      <c r="C14" s="220"/>
      <c r="D14" s="220">
        <v>0</v>
      </c>
      <c r="E14" s="180">
        <f t="shared" ref="E14:E19" si="0">C14+D14</f>
        <v>0</v>
      </c>
    </row>
    <row r="15" spans="1:6" s="6" customFormat="1" ht="13.5" customHeight="1">
      <c r="A15" s="57" t="s">
        <v>17</v>
      </c>
      <c r="B15" s="58" t="s">
        <v>70</v>
      </c>
      <c r="C15" s="220">
        <v>0</v>
      </c>
      <c r="D15" s="220">
        <v>0</v>
      </c>
      <c r="E15" s="180">
        <f t="shared" si="0"/>
        <v>0</v>
      </c>
    </row>
    <row r="16" spans="1:6" s="6" customFormat="1" ht="12" customHeight="1">
      <c r="A16" s="57" t="s">
        <v>18</v>
      </c>
      <c r="B16" s="61" t="s">
        <v>161</v>
      </c>
      <c r="C16" s="220">
        <f>'3 bevételek'!F21</f>
        <v>12394000</v>
      </c>
      <c r="D16" s="220">
        <f>'3 bevételek'!G21</f>
        <v>0</v>
      </c>
      <c r="E16" s="180">
        <f t="shared" si="0"/>
        <v>12394000</v>
      </c>
    </row>
    <row r="17" spans="1:8" s="6" customFormat="1" ht="12.75" customHeight="1">
      <c r="A17" s="57" t="s">
        <v>19</v>
      </c>
      <c r="B17" s="61" t="s">
        <v>162</v>
      </c>
      <c r="C17" s="220">
        <f>'3 bevételek'!F108</f>
        <v>0</v>
      </c>
      <c r="D17" s="220">
        <f>'3 bevételek'!G108</f>
        <v>0</v>
      </c>
      <c r="E17" s="180">
        <f t="shared" si="0"/>
        <v>0</v>
      </c>
    </row>
    <row r="18" spans="1:8" s="6" customFormat="1" ht="12" customHeight="1">
      <c r="A18" s="57" t="s">
        <v>20</v>
      </c>
      <c r="B18" s="61" t="s">
        <v>158</v>
      </c>
      <c r="C18" s="220">
        <v>0</v>
      </c>
      <c r="D18" s="220"/>
      <c r="E18" s="180">
        <f t="shared" si="0"/>
        <v>0</v>
      </c>
    </row>
    <row r="19" spans="1:8" s="6" customFormat="1" ht="12" customHeight="1">
      <c r="A19" s="57" t="s">
        <v>21</v>
      </c>
      <c r="B19" s="61" t="s">
        <v>157</v>
      </c>
      <c r="C19" s="220">
        <v>0</v>
      </c>
      <c r="D19" s="220">
        <v>0</v>
      </c>
      <c r="E19" s="180">
        <f t="shared" si="0"/>
        <v>0</v>
      </c>
    </row>
    <row r="20" spans="1:8" s="6" customFormat="1" ht="12" customHeight="1">
      <c r="A20" s="57"/>
      <c r="B20" s="224" t="s">
        <v>290</v>
      </c>
      <c r="C20" s="220">
        <f>SUM(C15:C19)</f>
        <v>12394000</v>
      </c>
      <c r="D20" s="220">
        <f>SUM(D13:D19)</f>
        <v>0</v>
      </c>
      <c r="E20" s="180">
        <f>C20+D20</f>
        <v>12394000</v>
      </c>
    </row>
    <row r="21" spans="1:8" s="6" customFormat="1" ht="27.75" customHeight="1">
      <c r="A21" s="143" t="s">
        <v>34</v>
      </c>
      <c r="B21" s="56" t="s">
        <v>283</v>
      </c>
      <c r="C21" s="151"/>
      <c r="D21" s="151"/>
      <c r="E21" s="152"/>
    </row>
    <row r="22" spans="1:8" s="7" customFormat="1" ht="12" customHeight="1">
      <c r="A22" s="57" t="s">
        <v>15</v>
      </c>
      <c r="B22" s="58" t="s">
        <v>159</v>
      </c>
      <c r="C22" s="153">
        <f>'3 bevételek'!F142</f>
        <v>251457605.16</v>
      </c>
      <c r="D22" s="59"/>
      <c r="E22" s="154">
        <f>SUM(C22:D22)</f>
        <v>251457605.16</v>
      </c>
    </row>
    <row r="23" spans="1:8" s="7" customFormat="1" ht="12" customHeight="1">
      <c r="A23" s="57" t="s">
        <v>16</v>
      </c>
      <c r="B23" s="60" t="s">
        <v>160</v>
      </c>
      <c r="C23" s="59"/>
      <c r="D23" s="153">
        <f>'3 bevételek'!G187</f>
        <v>215510318</v>
      </c>
      <c r="E23" s="154">
        <f>D23+C23</f>
        <v>215510318</v>
      </c>
      <c r="F23" s="35"/>
    </row>
    <row r="24" spans="1:8" s="7" customFormat="1" ht="12" customHeight="1">
      <c r="A24" s="57" t="s">
        <v>17</v>
      </c>
      <c r="B24" s="58" t="s">
        <v>70</v>
      </c>
      <c r="C24" s="153">
        <f>'3 bevételek'!F194</f>
        <v>23541689</v>
      </c>
      <c r="D24" s="153">
        <f>'3 bevételek'!G194</f>
        <v>7258311</v>
      </c>
      <c r="E24" s="154">
        <f>D24+C24</f>
        <v>30800000</v>
      </c>
    </row>
    <row r="25" spans="1:8" s="7" customFormat="1" ht="12" customHeight="1">
      <c r="A25" s="57" t="s">
        <v>18</v>
      </c>
      <c r="B25" s="61" t="s">
        <v>161</v>
      </c>
      <c r="C25" s="155">
        <f>'3 bevételek'!F206</f>
        <v>19313867.181102362</v>
      </c>
      <c r="D25" s="62"/>
      <c r="E25" s="154">
        <f t="shared" ref="E25:E28" si="1">SUM(C25:D25)</f>
        <v>19313867.181102362</v>
      </c>
      <c r="F25" s="35"/>
    </row>
    <row r="26" spans="1:8" s="7" customFormat="1" ht="12" customHeight="1">
      <c r="A26" s="57" t="s">
        <v>19</v>
      </c>
      <c r="B26" s="61" t="s">
        <v>162</v>
      </c>
      <c r="C26" s="62"/>
      <c r="D26" s="155">
        <f>'3 bevételek'!G226</f>
        <v>3073000</v>
      </c>
      <c r="E26" s="154">
        <f t="shared" si="1"/>
        <v>3073000</v>
      </c>
    </row>
    <row r="27" spans="1:8" s="7" customFormat="1" ht="12" customHeight="1">
      <c r="A27" s="57" t="s">
        <v>20</v>
      </c>
      <c r="B27" s="61" t="s">
        <v>158</v>
      </c>
      <c r="C27" s="155">
        <f>'3 bevételek'!F229</f>
        <v>0</v>
      </c>
      <c r="D27" s="62"/>
      <c r="E27" s="154">
        <f t="shared" si="1"/>
        <v>0</v>
      </c>
    </row>
    <row r="28" spans="1:8" s="7" customFormat="1" ht="12" customHeight="1" thickBot="1">
      <c r="A28" s="57" t="s">
        <v>21</v>
      </c>
      <c r="B28" s="61" t="s">
        <v>157</v>
      </c>
      <c r="C28" s="62"/>
      <c r="D28" s="155">
        <f>'3 bevételek'!G230</f>
        <v>0</v>
      </c>
      <c r="E28" s="154">
        <f t="shared" si="1"/>
        <v>0</v>
      </c>
    </row>
    <row r="29" spans="1:8" s="8" customFormat="1" ht="14.25" customHeight="1" thickTop="1" thickBot="1">
      <c r="A29" s="811" t="s">
        <v>289</v>
      </c>
      <c r="B29" s="812"/>
      <c r="C29" s="156">
        <f>C22+C24+C25+C27</f>
        <v>294313161.3411023</v>
      </c>
      <c r="D29" s="156">
        <f>D23+D24+D26+D28</f>
        <v>225841629</v>
      </c>
      <c r="E29" s="157">
        <f>SUM(C29:D29)</f>
        <v>520154790.3411023</v>
      </c>
      <c r="G29" s="108"/>
    </row>
    <row r="30" spans="1:8" s="9" customFormat="1" ht="15" customHeight="1" thickTop="1" thickBot="1">
      <c r="A30" s="818" t="s">
        <v>209</v>
      </c>
      <c r="B30" s="819"/>
      <c r="C30" s="158">
        <f>C20+C29</f>
        <v>306707161.3411023</v>
      </c>
      <c r="D30" s="158">
        <f>SUM(D12)+D29+D20</f>
        <v>225841629</v>
      </c>
      <c r="E30" s="159">
        <f>C30+D30</f>
        <v>532548790.3411023</v>
      </c>
      <c r="G30" s="34"/>
    </row>
    <row r="31" spans="1:8" s="9" customFormat="1" ht="30.75" customHeight="1" thickTop="1" thickBot="1">
      <c r="A31" s="823" t="s">
        <v>212</v>
      </c>
      <c r="B31" s="824"/>
      <c r="C31" s="158">
        <f>C30-C50</f>
        <v>2264200.0211023092</v>
      </c>
      <c r="D31" s="158">
        <f>D30-D55</f>
        <v>-198258778</v>
      </c>
      <c r="E31" s="160">
        <f>E30-E56</f>
        <v>-195994577.97889763</v>
      </c>
      <c r="G31" s="34"/>
      <c r="H31" s="34"/>
    </row>
    <row r="32" spans="1:8" s="9" customFormat="1" ht="21" customHeight="1" thickTop="1" thickBot="1">
      <c r="A32" s="223" t="s">
        <v>38</v>
      </c>
      <c r="B32" s="56" t="s">
        <v>285</v>
      </c>
      <c r="C32" s="161">
        <f>C33+C35</f>
        <v>108751756</v>
      </c>
      <c r="D32" s="161">
        <f>D33+D35</f>
        <v>195792011</v>
      </c>
      <c r="E32" s="395">
        <f>C32+D32</f>
        <v>304543767</v>
      </c>
      <c r="G32" s="34"/>
      <c r="H32" s="34"/>
    </row>
    <row r="33" spans="1:9" s="9" customFormat="1" ht="27" customHeight="1" thickTop="1" thickBot="1">
      <c r="A33" s="223"/>
      <c r="B33" s="274" t="s">
        <v>210</v>
      </c>
      <c r="C33" s="161">
        <f>C34</f>
        <v>202567</v>
      </c>
      <c r="D33" s="161">
        <f>D34</f>
        <v>0</v>
      </c>
      <c r="E33" s="395">
        <f>C33+D33</f>
        <v>202567</v>
      </c>
      <c r="G33" s="34"/>
      <c r="H33" s="34"/>
    </row>
    <row r="34" spans="1:9" s="9" customFormat="1" ht="24.75" customHeight="1" thickTop="1" thickBot="1">
      <c r="A34" s="276"/>
      <c r="B34" s="275" t="s">
        <v>239</v>
      </c>
      <c r="C34" s="161">
        <f>'3 bevételek'!F123</f>
        <v>202567</v>
      </c>
      <c r="D34" s="161">
        <f>'3 bevételek'!G123</f>
        <v>0</v>
      </c>
      <c r="E34" s="395">
        <f>C34+D34</f>
        <v>202567</v>
      </c>
      <c r="G34" s="34"/>
      <c r="H34" s="34"/>
    </row>
    <row r="35" spans="1:9" s="9" customFormat="1" ht="18.75" customHeight="1" thickTop="1">
      <c r="A35" s="63"/>
      <c r="B35" s="64" t="s">
        <v>284</v>
      </c>
      <c r="C35" s="161">
        <f>SUM(C36:C38)</f>
        <v>108549189</v>
      </c>
      <c r="D35" s="161">
        <f t="shared" ref="D35:E35" si="2">SUM(D36:D38)</f>
        <v>195792011</v>
      </c>
      <c r="E35" s="395">
        <f t="shared" si="2"/>
        <v>304341200</v>
      </c>
      <c r="G35" s="34"/>
    </row>
    <row r="36" spans="1:9" s="9" customFormat="1" ht="38.25" customHeight="1">
      <c r="A36" s="65" t="s">
        <v>15</v>
      </c>
      <c r="B36" s="66" t="s">
        <v>239</v>
      </c>
      <c r="C36" s="162"/>
      <c r="D36" s="162">
        <f>'3 bevételek'!G232</f>
        <v>195792011</v>
      </c>
      <c r="E36" s="359">
        <f>C36+D36</f>
        <v>195792011</v>
      </c>
      <c r="F36" s="138"/>
      <c r="G36" s="139"/>
      <c r="H36" s="139"/>
      <c r="I36" s="139"/>
    </row>
    <row r="37" spans="1:9" s="10" customFormat="1" ht="11.25" customHeight="1">
      <c r="A37" s="133">
        <v>2</v>
      </c>
      <c r="B37" s="129" t="s">
        <v>246</v>
      </c>
      <c r="C37" s="130">
        <f>'3 bevételek'!F235</f>
        <v>100000000</v>
      </c>
      <c r="D37" s="130">
        <v>0</v>
      </c>
      <c r="E37" s="277">
        <f>C37+D37</f>
        <v>100000000</v>
      </c>
      <c r="F37" s="370"/>
      <c r="G37" s="370"/>
      <c r="H37" s="371"/>
      <c r="I37" s="140"/>
    </row>
    <row r="38" spans="1:9" s="10" customFormat="1" ht="12.75" customHeight="1" thickBot="1">
      <c r="A38" s="133">
        <v>3</v>
      </c>
      <c r="B38" s="132" t="s">
        <v>248</v>
      </c>
      <c r="C38" s="130">
        <f>'3 bevételek'!F236</f>
        <v>8549189</v>
      </c>
      <c r="D38" s="131"/>
      <c r="E38" s="277">
        <f>C38</f>
        <v>8549189</v>
      </c>
      <c r="F38" s="370"/>
      <c r="G38" s="370"/>
      <c r="H38" s="371"/>
      <c r="I38" s="140"/>
    </row>
    <row r="39" spans="1:9" s="36" customFormat="1" ht="24.75" customHeight="1" thickTop="1" thickBot="1">
      <c r="A39" s="813" t="s">
        <v>99</v>
      </c>
      <c r="B39" s="814"/>
      <c r="C39" s="158">
        <f>C30+C32</f>
        <v>415458917.3411023</v>
      </c>
      <c r="D39" s="158">
        <f>D30+D35</f>
        <v>421633640</v>
      </c>
      <c r="E39" s="159">
        <f>C39+D39</f>
        <v>837092557.34110236</v>
      </c>
      <c r="F39" s="141"/>
      <c r="G39" s="142"/>
      <c r="H39" s="141"/>
      <c r="I39" s="141"/>
    </row>
    <row r="40" spans="1:9" s="5" customFormat="1" ht="13.5" thickTop="1">
      <c r="A40" s="820" t="s">
        <v>27</v>
      </c>
      <c r="B40" s="821"/>
      <c r="C40" s="50" t="s">
        <v>28</v>
      </c>
      <c r="D40" s="50" t="s">
        <v>29</v>
      </c>
      <c r="E40" s="822" t="s">
        <v>30</v>
      </c>
    </row>
    <row r="41" spans="1:9" s="5" customFormat="1">
      <c r="A41" s="820"/>
      <c r="B41" s="821"/>
      <c r="C41" s="50" t="s">
        <v>31</v>
      </c>
      <c r="D41" s="50" t="s">
        <v>31</v>
      </c>
      <c r="E41" s="822"/>
    </row>
    <row r="42" spans="1:9" ht="4.5" customHeight="1" thickBot="1">
      <c r="A42" s="51"/>
      <c r="B42" s="68"/>
      <c r="C42" s="163"/>
      <c r="D42" s="163"/>
      <c r="E42" s="164"/>
    </row>
    <row r="43" spans="1:9" ht="13.5" customHeight="1" thickBot="1">
      <c r="A43" s="815" t="s">
        <v>35</v>
      </c>
      <c r="B43" s="816"/>
      <c r="C43" s="816"/>
      <c r="D43" s="816"/>
      <c r="E43" s="817"/>
    </row>
    <row r="44" spans="1:9" s="6" customFormat="1" ht="11.25" customHeight="1">
      <c r="A44" s="143" t="s">
        <v>33</v>
      </c>
      <c r="B44" s="69" t="s">
        <v>75</v>
      </c>
      <c r="C44" s="165"/>
      <c r="D44" s="166"/>
      <c r="E44" s="167"/>
    </row>
    <row r="45" spans="1:9" s="7" customFormat="1" ht="13.5" customHeight="1">
      <c r="A45" s="57" t="s">
        <v>15</v>
      </c>
      <c r="B45" s="58" t="s">
        <v>25</v>
      </c>
      <c r="C45" s="153">
        <f>'3 bevételek'!F248</f>
        <v>151237337</v>
      </c>
      <c r="D45" s="59"/>
      <c r="E45" s="154">
        <f>SUM(C45:D45)</f>
        <v>151237337</v>
      </c>
    </row>
    <row r="46" spans="1:9" s="7" customFormat="1" ht="13.5" customHeight="1">
      <c r="A46" s="57" t="s">
        <v>16</v>
      </c>
      <c r="B46" s="61" t="s">
        <v>74</v>
      </c>
      <c r="C46" s="153">
        <f>'3 bevételek'!F249</f>
        <v>29010597.32</v>
      </c>
      <c r="D46" s="62"/>
      <c r="E46" s="154">
        <f>SUM(C46:D46)</f>
        <v>29010597.32</v>
      </c>
    </row>
    <row r="47" spans="1:9" s="7" customFormat="1" ht="13.5" customHeight="1">
      <c r="A47" s="57" t="s">
        <v>17</v>
      </c>
      <c r="B47" s="61" t="s">
        <v>26</v>
      </c>
      <c r="C47" s="153">
        <f>'3 bevételek'!F250</f>
        <v>108977949</v>
      </c>
      <c r="D47" s="62"/>
      <c r="E47" s="154">
        <f>SUM(C47:D47)</f>
        <v>108977949</v>
      </c>
    </row>
    <row r="48" spans="1:9" s="7" customFormat="1" ht="13.5" customHeight="1">
      <c r="A48" s="57" t="s">
        <v>18</v>
      </c>
      <c r="B48" s="39" t="s">
        <v>68</v>
      </c>
      <c r="C48" s="153">
        <f>'3 bevételek'!F251</f>
        <v>3600230</v>
      </c>
      <c r="D48" s="62"/>
      <c r="E48" s="154">
        <f>C48</f>
        <v>3600230</v>
      </c>
      <c r="G48" s="35"/>
    </row>
    <row r="49" spans="1:8" s="7" customFormat="1" ht="13.5" customHeight="1" thickBot="1">
      <c r="A49" s="57" t="s">
        <v>20</v>
      </c>
      <c r="B49" s="40" t="s">
        <v>66</v>
      </c>
      <c r="C49" s="153">
        <f>'3 bevételek'!F252</f>
        <v>11616848</v>
      </c>
      <c r="D49" s="62"/>
      <c r="E49" s="154">
        <f>SUM(C49:D49)</f>
        <v>11616848</v>
      </c>
      <c r="F49" s="35"/>
      <c r="H49" s="35"/>
    </row>
    <row r="50" spans="1:8" s="8" customFormat="1" ht="14.25" customHeight="1" thickTop="1" thickBot="1">
      <c r="A50" s="811" t="s">
        <v>76</v>
      </c>
      <c r="B50" s="812"/>
      <c r="C50" s="156">
        <f>SUM(C45:C49)</f>
        <v>304442961.31999999</v>
      </c>
      <c r="D50" s="103"/>
      <c r="E50" s="168">
        <f>SUM(C50:D50)</f>
        <v>304442961.31999999</v>
      </c>
    </row>
    <row r="51" spans="1:8" s="6" customFormat="1" ht="15" customHeight="1" thickTop="1">
      <c r="A51" s="143" t="s">
        <v>34</v>
      </c>
      <c r="B51" s="69" t="s">
        <v>77</v>
      </c>
      <c r="C51" s="102"/>
      <c r="D51" s="70"/>
      <c r="E51" s="67"/>
    </row>
    <row r="52" spans="1:8" s="7" customFormat="1" ht="13.5" customHeight="1">
      <c r="A52" s="57" t="s">
        <v>15</v>
      </c>
      <c r="B52" s="58" t="s">
        <v>36</v>
      </c>
      <c r="C52" s="59"/>
      <c r="D52" s="153">
        <f>'3 bevételek'!G255</f>
        <v>289374809</v>
      </c>
      <c r="E52" s="154">
        <f>SUM(C52:D52)</f>
        <v>289374809</v>
      </c>
    </row>
    <row r="53" spans="1:8" s="7" customFormat="1" ht="12" customHeight="1">
      <c r="A53" s="57" t="s">
        <v>16</v>
      </c>
      <c r="B53" s="61" t="s">
        <v>37</v>
      </c>
      <c r="C53" s="62"/>
      <c r="D53" s="153">
        <f>'3 bevételek'!G256</f>
        <v>134725598</v>
      </c>
      <c r="E53" s="154">
        <f>SUM(C53:D53)</f>
        <v>134725598</v>
      </c>
    </row>
    <row r="54" spans="1:8" s="7" customFormat="1" ht="12" customHeight="1" thickBot="1">
      <c r="A54" s="57" t="s">
        <v>17</v>
      </c>
      <c r="B54" s="61" t="s">
        <v>41</v>
      </c>
      <c r="C54" s="62"/>
      <c r="D54" s="153">
        <f>'3 bevételek'!G257</f>
        <v>0</v>
      </c>
      <c r="E54" s="154">
        <f>SUM(C54:D54)</f>
        <v>0</v>
      </c>
    </row>
    <row r="55" spans="1:8" s="8" customFormat="1" ht="12.75" customHeight="1" thickTop="1" thickBot="1">
      <c r="A55" s="811" t="s">
        <v>78</v>
      </c>
      <c r="B55" s="812"/>
      <c r="C55" s="103"/>
      <c r="D55" s="156">
        <f>SUM(D52:D54)</f>
        <v>424100407</v>
      </c>
      <c r="E55" s="168">
        <f>SUM(C55:D55)</f>
        <v>424100407</v>
      </c>
      <c r="F55" s="108"/>
      <c r="G55" s="108"/>
      <c r="H55" s="108"/>
    </row>
    <row r="56" spans="1:8" s="8" customFormat="1" ht="12.75" customHeight="1" thickTop="1" thickBot="1">
      <c r="A56" s="818" t="s">
        <v>211</v>
      </c>
      <c r="B56" s="819"/>
      <c r="C56" s="169">
        <f>C50</f>
        <v>304442961.31999999</v>
      </c>
      <c r="D56" s="169">
        <f>D55</f>
        <v>424100407</v>
      </c>
      <c r="E56" s="170">
        <f>D56+C56</f>
        <v>728543368.31999993</v>
      </c>
      <c r="F56" s="108"/>
      <c r="G56" s="108"/>
      <c r="H56" s="108"/>
    </row>
    <row r="57" spans="1:8" s="8" customFormat="1" ht="12.75" customHeight="1" thickTop="1">
      <c r="A57" s="71" t="s">
        <v>38</v>
      </c>
      <c r="B57" s="72"/>
      <c r="C57" s="169"/>
      <c r="D57" s="169"/>
      <c r="E57" s="170"/>
    </row>
    <row r="58" spans="1:8" s="8" customFormat="1" ht="12.75" customHeight="1">
      <c r="A58" s="73"/>
      <c r="B58" s="74" t="s">
        <v>62</v>
      </c>
      <c r="C58" s="171">
        <f>'3 bevételek'!F259</f>
        <v>108549189</v>
      </c>
      <c r="D58" s="171"/>
      <c r="E58" s="172">
        <f>D58+C58</f>
        <v>108549189</v>
      </c>
    </row>
    <row r="59" spans="1:8" s="8" customFormat="1" ht="6.75" customHeight="1" thickBot="1">
      <c r="A59" s="75"/>
      <c r="B59" s="76"/>
      <c r="C59" s="173"/>
      <c r="D59" s="173"/>
      <c r="E59" s="174"/>
    </row>
    <row r="60" spans="1:8" s="9" customFormat="1" ht="15" customHeight="1" thickTop="1" thickBot="1">
      <c r="A60" s="809" t="s">
        <v>153</v>
      </c>
      <c r="B60" s="810"/>
      <c r="C60" s="175">
        <f>SUM(C50,C55)+C58</f>
        <v>412992150.31999999</v>
      </c>
      <c r="D60" s="175">
        <f>SUM(D50,D55)+D58</f>
        <v>424100407</v>
      </c>
      <c r="E60" s="176">
        <f>SUM(C60:D60)</f>
        <v>837092557.31999993</v>
      </c>
      <c r="F60" s="34"/>
      <c r="G60" s="139"/>
      <c r="H60" s="34"/>
    </row>
    <row r="61" spans="1:8">
      <c r="C61" s="77"/>
      <c r="D61" s="77"/>
      <c r="E61" s="77"/>
      <c r="G61" s="278"/>
      <c r="H61" s="109"/>
    </row>
    <row r="62" spans="1:8">
      <c r="C62" s="104"/>
      <c r="D62" s="104"/>
      <c r="E62" s="104"/>
    </row>
    <row r="63" spans="1:8">
      <c r="C63" s="77"/>
      <c r="D63" s="77"/>
      <c r="E63" s="77"/>
    </row>
    <row r="64" spans="1:8">
      <c r="C64" s="77"/>
      <c r="D64" s="77"/>
      <c r="E64" s="77"/>
    </row>
    <row r="65" spans="3:6">
      <c r="C65" s="77"/>
      <c r="D65" s="77"/>
      <c r="E65" s="77"/>
    </row>
    <row r="68" spans="3:6">
      <c r="C68" s="104"/>
      <c r="D68" s="104"/>
      <c r="E68" s="104"/>
      <c r="F68" s="106"/>
    </row>
  </sheetData>
  <mergeCells count="15">
    <mergeCell ref="A29:B29"/>
    <mergeCell ref="A30:B30"/>
    <mergeCell ref="A31:B31"/>
    <mergeCell ref="C1:E1"/>
    <mergeCell ref="A8:B9"/>
    <mergeCell ref="E8:E9"/>
    <mergeCell ref="A11:E11"/>
    <mergeCell ref="A60:B60"/>
    <mergeCell ref="A50:B50"/>
    <mergeCell ref="A55:B55"/>
    <mergeCell ref="A39:B39"/>
    <mergeCell ref="A43:E43"/>
    <mergeCell ref="A56:B56"/>
    <mergeCell ref="A40:B41"/>
    <mergeCell ref="E40:E4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7"/>
  <sheetViews>
    <sheetView showGridLines="0" view="pageBreakPreview" topLeftCell="A242" zoomScaleNormal="80" zoomScaleSheetLayoutView="100" workbookViewId="0">
      <selection activeCell="H258" sqref="H258"/>
    </sheetView>
  </sheetViews>
  <sheetFormatPr defaultRowHeight="12" customHeight="1"/>
  <cols>
    <col min="1" max="1" width="3.140625" style="467" customWidth="1"/>
    <col min="2" max="2" width="3.85546875" style="668" customWidth="1"/>
    <col min="3" max="3" width="7.42578125" style="668" customWidth="1"/>
    <col min="4" max="4" width="11.5703125" style="668" customWidth="1"/>
    <col min="5" max="5" width="81" style="669" customWidth="1"/>
    <col min="6" max="6" width="13.7109375" style="654" customWidth="1"/>
    <col min="7" max="7" width="13.42578125" style="654" customWidth="1"/>
    <col min="8" max="8" width="14.42578125" style="654" customWidth="1"/>
    <col min="9" max="9" width="10.7109375" style="10" customWidth="1"/>
    <col min="10" max="10" width="16.140625" style="10" customWidth="1"/>
    <col min="11" max="11" width="12.140625" style="10" customWidth="1"/>
    <col min="12" max="12" width="11.85546875" style="10" customWidth="1"/>
    <col min="13" max="13" width="9.5703125" style="10" bestFit="1" customWidth="1"/>
    <col min="14" max="14" width="9.85546875" style="10" bestFit="1" customWidth="1"/>
    <col min="15" max="15" width="9.5703125" style="10" bestFit="1" customWidth="1"/>
    <col min="16" max="16384" width="9.140625" style="10"/>
  </cols>
  <sheetData>
    <row r="1" spans="1:12" ht="12" customHeight="1">
      <c r="A1" s="452"/>
      <c r="B1" s="593"/>
      <c r="C1" s="593"/>
      <c r="D1" s="593"/>
      <c r="E1" s="864"/>
      <c r="F1" s="864"/>
      <c r="G1" s="864"/>
      <c r="H1" s="864"/>
    </row>
    <row r="2" spans="1:12" ht="15" customHeight="1">
      <c r="A2" s="453"/>
      <c r="B2" s="594"/>
      <c r="C2" s="594"/>
      <c r="D2" s="594"/>
      <c r="E2" s="595"/>
      <c r="F2" s="596"/>
      <c r="G2" s="596"/>
      <c r="H2" s="596"/>
    </row>
    <row r="3" spans="1:12" ht="14.25" customHeight="1" thickBot="1">
      <c r="A3" s="454"/>
      <c r="B3" s="597"/>
      <c r="C3" s="597"/>
      <c r="D3" s="597"/>
      <c r="E3" s="598"/>
      <c r="F3" s="599"/>
      <c r="G3" s="599"/>
      <c r="H3" s="600"/>
      <c r="I3" s="119"/>
      <c r="J3" s="119"/>
      <c r="K3" s="119"/>
      <c r="L3" s="119"/>
    </row>
    <row r="4" spans="1:12" ht="27" customHeight="1">
      <c r="A4" s="455"/>
      <c r="B4" s="601"/>
      <c r="C4" s="835" t="s">
        <v>104</v>
      </c>
      <c r="D4" s="843" t="s">
        <v>206</v>
      </c>
      <c r="E4" s="837" t="s">
        <v>39</v>
      </c>
      <c r="F4" s="845" t="s">
        <v>167</v>
      </c>
      <c r="G4" s="845" t="s">
        <v>353</v>
      </c>
      <c r="H4" s="833" t="s">
        <v>30</v>
      </c>
      <c r="I4" s="119"/>
      <c r="J4" s="119"/>
      <c r="K4" s="119"/>
      <c r="L4" s="119"/>
    </row>
    <row r="5" spans="1:12" ht="29.25" customHeight="1" thickBot="1">
      <c r="A5" s="456"/>
      <c r="B5" s="602"/>
      <c r="C5" s="836"/>
      <c r="D5" s="844"/>
      <c r="E5" s="838"/>
      <c r="F5" s="846"/>
      <c r="G5" s="846"/>
      <c r="H5" s="834"/>
      <c r="I5" s="119"/>
      <c r="J5" s="119"/>
      <c r="K5" s="119"/>
      <c r="L5" s="119"/>
    </row>
    <row r="6" spans="1:12" ht="21" customHeight="1" thickBot="1">
      <c r="A6" s="839" t="s">
        <v>105</v>
      </c>
      <c r="B6" s="840"/>
      <c r="C6" s="840"/>
      <c r="D6" s="840"/>
      <c r="E6" s="840"/>
      <c r="F6" s="840"/>
      <c r="G6" s="840"/>
      <c r="H6" s="841"/>
      <c r="I6" s="119"/>
      <c r="J6" s="119"/>
      <c r="K6" s="119"/>
      <c r="L6" s="119"/>
    </row>
    <row r="7" spans="1:12" s="11" customFormat="1" ht="18" customHeight="1">
      <c r="A7" s="795" t="s">
        <v>106</v>
      </c>
      <c r="B7" s="603"/>
      <c r="C7" s="604"/>
      <c r="D7" s="842" t="s">
        <v>87</v>
      </c>
      <c r="E7" s="842"/>
      <c r="F7" s="842"/>
      <c r="G7" s="842"/>
      <c r="H7" s="842"/>
      <c r="I7" s="120"/>
      <c r="J7" s="120"/>
      <c r="K7" s="120"/>
      <c r="L7" s="120"/>
    </row>
    <row r="8" spans="1:12" s="11" customFormat="1" ht="13.5" customHeight="1">
      <c r="A8" s="861" t="s">
        <v>337</v>
      </c>
      <c r="B8" s="862"/>
      <c r="C8" s="862"/>
      <c r="D8" s="862"/>
      <c r="E8" s="863"/>
      <c r="F8" s="605">
        <f>F9+F10</f>
        <v>746480</v>
      </c>
      <c r="G8" s="605">
        <f>G9+G10</f>
        <v>0</v>
      </c>
      <c r="H8" s="605">
        <f>F8+G8</f>
        <v>746480</v>
      </c>
      <c r="I8" s="120"/>
      <c r="J8" s="120"/>
      <c r="K8" s="120"/>
      <c r="L8" s="120"/>
    </row>
    <row r="9" spans="1:12" s="11" customFormat="1" ht="11.25" customHeight="1">
      <c r="A9" s="606"/>
      <c r="B9" s="606"/>
      <c r="C9" s="606"/>
      <c r="D9" s="606"/>
      <c r="E9" s="607" t="s">
        <v>83</v>
      </c>
      <c r="F9" s="605">
        <f>F13+F16+F19</f>
        <v>746480</v>
      </c>
      <c r="G9" s="605">
        <f>G13+G16+G19</f>
        <v>0</v>
      </c>
      <c r="H9" s="605">
        <f t="shared" ref="H9:H10" si="0">F9+G9</f>
        <v>746480</v>
      </c>
      <c r="I9" s="120"/>
      <c r="J9" s="120"/>
      <c r="K9" s="120"/>
      <c r="L9" s="120"/>
    </row>
    <row r="10" spans="1:12" s="11" customFormat="1" ht="12.75" customHeight="1">
      <c r="A10" s="457"/>
      <c r="B10" s="606"/>
      <c r="C10" s="606"/>
      <c r="D10" s="606"/>
      <c r="E10" s="608" t="s">
        <v>84</v>
      </c>
      <c r="F10" s="605">
        <f>F14+F17+F20</f>
        <v>0</v>
      </c>
      <c r="G10" s="605">
        <f>G14+G17+G20</f>
        <v>0</v>
      </c>
      <c r="H10" s="605">
        <f t="shared" si="0"/>
        <v>0</v>
      </c>
      <c r="I10" s="120"/>
      <c r="J10" s="120"/>
      <c r="K10" s="120"/>
      <c r="L10" s="120"/>
    </row>
    <row r="11" spans="1:12" s="11" customFormat="1" ht="18" customHeight="1">
      <c r="A11" s="458"/>
      <c r="B11" s="450">
        <v>1</v>
      </c>
      <c r="C11" s="447" t="s">
        <v>183</v>
      </c>
      <c r="D11" s="447" t="s">
        <v>72</v>
      </c>
      <c r="E11" s="609" t="s">
        <v>338</v>
      </c>
      <c r="F11" s="448"/>
      <c r="G11" s="448"/>
      <c r="H11" s="448">
        <f t="shared" ref="H11" si="1">F11+G11</f>
        <v>0</v>
      </c>
      <c r="I11" s="120"/>
      <c r="J11" s="120"/>
      <c r="K11" s="120"/>
      <c r="L11" s="120"/>
    </row>
    <row r="12" spans="1:12" s="11" customFormat="1" ht="12.75" customHeight="1">
      <c r="A12" s="458"/>
      <c r="B12" s="450"/>
      <c r="C12" s="447"/>
      <c r="D12" s="447"/>
      <c r="E12" s="526" t="s">
        <v>260</v>
      </c>
      <c r="F12" s="448">
        <f>F13+F14</f>
        <v>746480</v>
      </c>
      <c r="G12" s="448">
        <f>G13+G14</f>
        <v>0</v>
      </c>
      <c r="H12" s="448">
        <f>F12+G12</f>
        <v>746480</v>
      </c>
      <c r="I12" s="120"/>
      <c r="J12" s="120"/>
      <c r="K12" s="120"/>
      <c r="L12" s="120"/>
    </row>
    <row r="13" spans="1:12" s="11" customFormat="1" ht="12.75" customHeight="1">
      <c r="A13" s="458"/>
      <c r="B13" s="450"/>
      <c r="C13" s="447"/>
      <c r="D13" s="447"/>
      <c r="E13" s="496" t="s">
        <v>83</v>
      </c>
      <c r="F13" s="448">
        <f>529000+118934+98546</f>
        <v>746480</v>
      </c>
      <c r="G13" s="448"/>
      <c r="H13" s="448"/>
      <c r="I13" s="120"/>
      <c r="J13" s="120"/>
      <c r="K13" s="120"/>
      <c r="L13" s="120"/>
    </row>
    <row r="14" spans="1:12" s="11" customFormat="1" ht="12.75">
      <c r="A14" s="458"/>
      <c r="B14" s="450"/>
      <c r="C14" s="447"/>
      <c r="D14" s="447"/>
      <c r="E14" s="527" t="s">
        <v>84</v>
      </c>
      <c r="F14" s="448"/>
      <c r="G14" s="448"/>
      <c r="H14" s="448"/>
      <c r="I14" s="120"/>
      <c r="J14" s="120"/>
      <c r="K14" s="120"/>
      <c r="L14" s="120"/>
    </row>
    <row r="15" spans="1:12" s="11" customFormat="1" ht="10.5" customHeight="1">
      <c r="A15" s="458"/>
      <c r="B15" s="450"/>
      <c r="C15" s="447"/>
      <c r="D15" s="447"/>
      <c r="E15" s="526" t="s">
        <v>234</v>
      </c>
      <c r="F15" s="448">
        <f>F16+F17</f>
        <v>0</v>
      </c>
      <c r="G15" s="448">
        <f>G16+G17</f>
        <v>0</v>
      </c>
      <c r="H15" s="448">
        <f>F15+G15</f>
        <v>0</v>
      </c>
      <c r="I15" s="120"/>
      <c r="J15" s="120"/>
      <c r="K15" s="120"/>
      <c r="L15" s="120"/>
    </row>
    <row r="16" spans="1:12" s="11" customFormat="1" ht="12.75" customHeight="1">
      <c r="A16" s="458"/>
      <c r="B16" s="450"/>
      <c r="C16" s="447"/>
      <c r="D16" s="447"/>
      <c r="E16" s="496" t="s">
        <v>83</v>
      </c>
      <c r="F16" s="448"/>
      <c r="G16" s="448"/>
      <c r="H16" s="448"/>
      <c r="I16" s="120"/>
      <c r="J16" s="120"/>
      <c r="K16" s="120"/>
      <c r="L16" s="120"/>
    </row>
    <row r="17" spans="1:12" s="11" customFormat="1" ht="13.5" customHeight="1">
      <c r="A17" s="458"/>
      <c r="B17" s="450"/>
      <c r="C17" s="447"/>
      <c r="D17" s="447"/>
      <c r="E17" s="527" t="s">
        <v>84</v>
      </c>
      <c r="F17" s="448"/>
      <c r="G17" s="448"/>
      <c r="H17" s="448"/>
      <c r="I17" s="120"/>
      <c r="J17" s="120"/>
      <c r="K17" s="120"/>
      <c r="L17" s="120"/>
    </row>
    <row r="18" spans="1:12" s="11" customFormat="1" ht="13.5" customHeight="1">
      <c r="A18" s="459"/>
      <c r="B18" s="610"/>
      <c r="C18" s="450"/>
      <c r="D18" s="611"/>
      <c r="E18" s="526" t="s">
        <v>235</v>
      </c>
      <c r="F18" s="448">
        <f>F19+F20</f>
        <v>0</v>
      </c>
      <c r="G18" s="448">
        <f>G19+G20</f>
        <v>0</v>
      </c>
      <c r="H18" s="448">
        <f>F18+G18</f>
        <v>0</v>
      </c>
      <c r="I18" s="120"/>
      <c r="J18" s="120"/>
      <c r="K18" s="120"/>
      <c r="L18" s="120"/>
    </row>
    <row r="19" spans="1:12" s="11" customFormat="1" ht="14.25" customHeight="1">
      <c r="A19" s="459"/>
      <c r="B19" s="610"/>
      <c r="C19" s="450"/>
      <c r="D19" s="611"/>
      <c r="E19" s="496" t="s">
        <v>83</v>
      </c>
      <c r="F19" s="448"/>
      <c r="G19" s="448"/>
      <c r="H19" s="448"/>
      <c r="I19" s="120"/>
      <c r="J19" s="120"/>
      <c r="K19" s="120"/>
      <c r="L19" s="120"/>
    </row>
    <row r="20" spans="1:12" s="11" customFormat="1" ht="12" customHeight="1">
      <c r="A20" s="459"/>
      <c r="B20" s="610"/>
      <c r="C20" s="450"/>
      <c r="D20" s="611"/>
      <c r="E20" s="527" t="s">
        <v>84</v>
      </c>
      <c r="F20" s="448"/>
      <c r="G20" s="448"/>
      <c r="H20" s="448"/>
      <c r="I20" s="120"/>
      <c r="J20" s="120"/>
      <c r="K20" s="120"/>
      <c r="L20" s="120"/>
    </row>
    <row r="21" spans="1:12" ht="15" customHeight="1">
      <c r="A21" s="826" t="s">
        <v>128</v>
      </c>
      <c r="B21" s="826"/>
      <c r="C21" s="826"/>
      <c r="D21" s="826"/>
      <c r="E21" s="826"/>
      <c r="F21" s="605">
        <f>F24+F36+F48+F60+F72+F84+F96</f>
        <v>12394000</v>
      </c>
      <c r="G21" s="605">
        <f t="shared" ref="G21:G23" si="2">G24+G36+G48+G60+G72+G84+G96</f>
        <v>0</v>
      </c>
      <c r="H21" s="605">
        <f>F21+G21</f>
        <v>12394000</v>
      </c>
      <c r="I21" s="119"/>
      <c r="J21" s="119"/>
      <c r="K21" s="119"/>
      <c r="L21" s="119"/>
    </row>
    <row r="22" spans="1:12" ht="15" customHeight="1">
      <c r="A22" s="460"/>
      <c r="B22" s="612"/>
      <c r="C22" s="612"/>
      <c r="D22" s="612"/>
      <c r="E22" s="607" t="s">
        <v>83</v>
      </c>
      <c r="F22" s="605">
        <f>F25+F37+F49+F61+F73+F85+F97</f>
        <v>9853500</v>
      </c>
      <c r="G22" s="605">
        <f t="shared" si="2"/>
        <v>0</v>
      </c>
      <c r="H22" s="605">
        <f>F22+G22</f>
        <v>9853500</v>
      </c>
      <c r="I22" s="119"/>
    </row>
    <row r="23" spans="1:12" ht="15" customHeight="1">
      <c r="A23" s="460"/>
      <c r="B23" s="612"/>
      <c r="C23" s="612"/>
      <c r="D23" s="612"/>
      <c r="E23" s="608" t="s">
        <v>84</v>
      </c>
      <c r="F23" s="605">
        <f>F26+F38+F50+F62+F74+F86+F98</f>
        <v>2540500</v>
      </c>
      <c r="G23" s="605">
        <f t="shared" si="2"/>
        <v>0</v>
      </c>
      <c r="H23" s="605">
        <f>F23+G23</f>
        <v>2540500</v>
      </c>
      <c r="I23" s="119"/>
    </row>
    <row r="24" spans="1:12" s="28" customFormat="1" ht="15" customHeight="1">
      <c r="A24" s="461"/>
      <c r="B24" s="613">
        <v>1</v>
      </c>
      <c r="C24" s="614" t="s">
        <v>169</v>
      </c>
      <c r="D24" s="614"/>
      <c r="E24" s="615" t="s">
        <v>187</v>
      </c>
      <c r="F24" s="616">
        <f>F25+F25</f>
        <v>0</v>
      </c>
      <c r="G24" s="616">
        <f>G25+G25</f>
        <v>0</v>
      </c>
      <c r="H24" s="616">
        <f>F24+G24</f>
        <v>0</v>
      </c>
      <c r="I24" s="121"/>
    </row>
    <row r="25" spans="1:12" s="28" customFormat="1" ht="15" customHeight="1">
      <c r="A25" s="461"/>
      <c r="B25" s="613"/>
      <c r="C25" s="614"/>
      <c r="D25" s="614"/>
      <c r="E25" s="617" t="s">
        <v>83</v>
      </c>
      <c r="F25" s="616">
        <f>F28+F31+F34</f>
        <v>0</v>
      </c>
      <c r="G25" s="616">
        <f>G28+G31+G34</f>
        <v>0</v>
      </c>
      <c r="H25" s="616">
        <f t="shared" ref="H25:H26" si="3">F25+G25</f>
        <v>0</v>
      </c>
      <c r="I25" s="121"/>
    </row>
    <row r="26" spans="1:12" s="28" customFormat="1" ht="15" customHeight="1">
      <c r="A26" s="461"/>
      <c r="B26" s="613"/>
      <c r="C26" s="614"/>
      <c r="D26" s="614"/>
      <c r="E26" s="618" t="s">
        <v>84</v>
      </c>
      <c r="F26" s="616">
        <f>F29+F32+F35</f>
        <v>0</v>
      </c>
      <c r="G26" s="616">
        <f>G29+G32+G35</f>
        <v>0</v>
      </c>
      <c r="H26" s="616">
        <f t="shared" si="3"/>
        <v>0</v>
      </c>
      <c r="I26" s="121"/>
    </row>
    <row r="27" spans="1:12" s="28" customFormat="1" ht="15" customHeight="1">
      <c r="A27" s="462"/>
      <c r="B27" s="450"/>
      <c r="C27" s="619"/>
      <c r="D27" s="619"/>
      <c r="E27" s="526" t="s">
        <v>260</v>
      </c>
      <c r="F27" s="448">
        <f>F28+F29</f>
        <v>0</v>
      </c>
      <c r="G27" s="448">
        <f>G28+G29</f>
        <v>0</v>
      </c>
      <c r="H27" s="448">
        <f>F27+G27</f>
        <v>0</v>
      </c>
      <c r="I27" s="121"/>
    </row>
    <row r="28" spans="1:12" s="28" customFormat="1" ht="15" customHeight="1">
      <c r="A28" s="462"/>
      <c r="B28" s="450"/>
      <c r="C28" s="619"/>
      <c r="D28" s="619"/>
      <c r="E28" s="496" t="s">
        <v>83</v>
      </c>
      <c r="F28" s="448"/>
      <c r="G28" s="448"/>
      <c r="H28" s="448"/>
      <c r="I28" s="121"/>
    </row>
    <row r="29" spans="1:12" s="28" customFormat="1" ht="15" customHeight="1">
      <c r="A29" s="462"/>
      <c r="B29" s="450"/>
      <c r="C29" s="619"/>
      <c r="D29" s="619"/>
      <c r="E29" s="527" t="s">
        <v>84</v>
      </c>
      <c r="F29" s="448"/>
      <c r="G29" s="448"/>
      <c r="H29" s="448"/>
      <c r="I29" s="121"/>
    </row>
    <row r="30" spans="1:12" s="28" customFormat="1" ht="15" customHeight="1">
      <c r="A30" s="462"/>
      <c r="B30" s="450"/>
      <c r="C30" s="619"/>
      <c r="D30" s="619"/>
      <c r="E30" s="526" t="s">
        <v>234</v>
      </c>
      <c r="F30" s="448">
        <f>F31+F32</f>
        <v>0</v>
      </c>
      <c r="G30" s="448">
        <f>G31+G32</f>
        <v>0</v>
      </c>
      <c r="H30" s="448">
        <f>F30+G30</f>
        <v>0</v>
      </c>
      <c r="I30" s="121"/>
      <c r="J30" s="121"/>
      <c r="K30" s="121"/>
      <c r="L30" s="121"/>
    </row>
    <row r="31" spans="1:12" s="28" customFormat="1" ht="15" customHeight="1">
      <c r="A31" s="462"/>
      <c r="B31" s="450"/>
      <c r="C31" s="619"/>
      <c r="D31" s="619"/>
      <c r="E31" s="496" t="s">
        <v>83</v>
      </c>
      <c r="F31" s="448"/>
      <c r="G31" s="448"/>
      <c r="H31" s="448"/>
      <c r="I31" s="121"/>
      <c r="J31" s="121"/>
      <c r="K31" s="121"/>
      <c r="L31" s="121"/>
    </row>
    <row r="32" spans="1:12" s="28" customFormat="1" ht="15" customHeight="1">
      <c r="A32" s="462"/>
      <c r="B32" s="450"/>
      <c r="C32" s="619"/>
      <c r="D32" s="619"/>
      <c r="E32" s="527" t="s">
        <v>84</v>
      </c>
      <c r="F32" s="448"/>
      <c r="G32" s="448"/>
      <c r="H32" s="448"/>
      <c r="I32" s="121"/>
      <c r="J32" s="121"/>
      <c r="K32" s="121"/>
      <c r="L32" s="121"/>
    </row>
    <row r="33" spans="1:12" s="28" customFormat="1" ht="15" customHeight="1">
      <c r="A33" s="462"/>
      <c r="B33" s="450"/>
      <c r="C33" s="619"/>
      <c r="D33" s="619"/>
      <c r="E33" s="526" t="s">
        <v>235</v>
      </c>
      <c r="F33" s="448">
        <f>F34+F35</f>
        <v>0</v>
      </c>
      <c r="G33" s="448">
        <f>G34+G35</f>
        <v>0</v>
      </c>
      <c r="H33" s="448">
        <f>F33+G33</f>
        <v>0</v>
      </c>
      <c r="I33" s="121"/>
      <c r="J33" s="121"/>
      <c r="K33" s="121"/>
      <c r="L33" s="121"/>
    </row>
    <row r="34" spans="1:12" s="28" customFormat="1" ht="15" customHeight="1">
      <c r="A34" s="462"/>
      <c r="B34" s="450"/>
      <c r="C34" s="619"/>
      <c r="D34" s="619"/>
      <c r="E34" s="496" t="s">
        <v>83</v>
      </c>
      <c r="F34" s="448"/>
      <c r="G34" s="448"/>
      <c r="H34" s="448"/>
      <c r="I34" s="121"/>
      <c r="J34" s="121"/>
      <c r="K34" s="121"/>
      <c r="L34" s="121"/>
    </row>
    <row r="35" spans="1:12" s="28" customFormat="1" ht="15" customHeight="1">
      <c r="A35" s="462"/>
      <c r="B35" s="450"/>
      <c r="C35" s="619"/>
      <c r="D35" s="619"/>
      <c r="E35" s="527" t="s">
        <v>84</v>
      </c>
      <c r="F35" s="448"/>
      <c r="G35" s="448"/>
      <c r="H35" s="448"/>
      <c r="I35" s="121"/>
      <c r="J35" s="121"/>
      <c r="K35" s="121"/>
      <c r="L35" s="121"/>
    </row>
    <row r="36" spans="1:12" s="28" customFormat="1" ht="15" customHeight="1">
      <c r="A36" s="463"/>
      <c r="B36" s="613">
        <v>2</v>
      </c>
      <c r="C36" s="613" t="s">
        <v>132</v>
      </c>
      <c r="D36" s="613"/>
      <c r="E36" s="620" t="s">
        <v>186</v>
      </c>
      <c r="F36" s="616">
        <f>F37+F38</f>
        <v>2756692</v>
      </c>
      <c r="G36" s="616">
        <f>G37+G38</f>
        <v>0</v>
      </c>
      <c r="H36" s="616">
        <f>+H60+H78+H90</f>
        <v>9431000</v>
      </c>
      <c r="I36" s="121"/>
      <c r="J36" s="121"/>
      <c r="K36" s="121"/>
      <c r="L36" s="121"/>
    </row>
    <row r="37" spans="1:12" s="28" customFormat="1" ht="15" customHeight="1">
      <c r="A37" s="463"/>
      <c r="B37" s="613"/>
      <c r="C37" s="613"/>
      <c r="D37" s="613"/>
      <c r="E37" s="617" t="s">
        <v>83</v>
      </c>
      <c r="F37" s="616">
        <f>F40+F43+F46</f>
        <v>756692</v>
      </c>
      <c r="G37" s="616">
        <f>G40+G43+G46</f>
        <v>0</v>
      </c>
      <c r="H37" s="616">
        <f t="shared" ref="H37:H38" si="4">F37+G37</f>
        <v>756692</v>
      </c>
      <c r="I37" s="121"/>
      <c r="J37" s="121"/>
      <c r="K37" s="121"/>
      <c r="L37" s="121"/>
    </row>
    <row r="38" spans="1:12" s="28" customFormat="1" ht="15" customHeight="1">
      <c r="A38" s="463"/>
      <c r="B38" s="613"/>
      <c r="C38" s="613"/>
      <c r="D38" s="613"/>
      <c r="E38" s="618" t="s">
        <v>84</v>
      </c>
      <c r="F38" s="616">
        <f>F41+F44+F47</f>
        <v>2000000</v>
      </c>
      <c r="G38" s="616">
        <f>G41+G44+G47</f>
        <v>0</v>
      </c>
      <c r="H38" s="616">
        <f t="shared" si="4"/>
        <v>2000000</v>
      </c>
      <c r="I38" s="121"/>
      <c r="J38" s="121"/>
      <c r="K38" s="121"/>
      <c r="L38" s="121"/>
    </row>
    <row r="39" spans="1:12" s="28" customFormat="1" ht="15" customHeight="1">
      <c r="A39" s="458"/>
      <c r="B39" s="450"/>
      <c r="C39" s="450"/>
      <c r="D39" s="450"/>
      <c r="E39" s="526" t="s">
        <v>260</v>
      </c>
      <c r="F39" s="448"/>
      <c r="G39" s="448"/>
      <c r="H39" s="448">
        <f>F39+G39</f>
        <v>0</v>
      </c>
      <c r="I39" s="121"/>
      <c r="J39" s="121"/>
      <c r="K39" s="121"/>
      <c r="L39" s="121"/>
    </row>
    <row r="40" spans="1:12" s="28" customFormat="1" ht="15" customHeight="1">
      <c r="A40" s="458"/>
      <c r="B40" s="450"/>
      <c r="C40" s="450"/>
      <c r="D40" s="450"/>
      <c r="E40" s="496" t="s">
        <v>83</v>
      </c>
      <c r="F40" s="448">
        <f>300000+456692</f>
        <v>756692</v>
      </c>
      <c r="G40" s="448"/>
      <c r="H40" s="448">
        <f t="shared" ref="H40:H41" si="5">F40+G40</f>
        <v>756692</v>
      </c>
      <c r="I40" s="121"/>
      <c r="J40" s="121"/>
      <c r="K40" s="121"/>
      <c r="L40" s="121"/>
    </row>
    <row r="41" spans="1:12" s="28" customFormat="1" ht="15" customHeight="1">
      <c r="A41" s="458"/>
      <c r="B41" s="450"/>
      <c r="C41" s="450"/>
      <c r="D41" s="450"/>
      <c r="E41" s="527" t="s">
        <v>84</v>
      </c>
      <c r="F41" s="448"/>
      <c r="G41" s="448"/>
      <c r="H41" s="448">
        <f t="shared" si="5"/>
        <v>0</v>
      </c>
      <c r="I41" s="121"/>
      <c r="J41" s="121"/>
      <c r="K41" s="121"/>
      <c r="L41" s="121"/>
    </row>
    <row r="42" spans="1:12" s="28" customFormat="1" ht="15" customHeight="1">
      <c r="A42" s="458"/>
      <c r="B42" s="450"/>
      <c r="C42" s="450"/>
      <c r="D42" s="450"/>
      <c r="E42" s="526" t="s">
        <v>234</v>
      </c>
      <c r="F42" s="448"/>
      <c r="G42" s="448"/>
      <c r="H42" s="448">
        <f>F42+G42</f>
        <v>0</v>
      </c>
      <c r="I42" s="121"/>
      <c r="J42" s="121"/>
      <c r="K42" s="121"/>
      <c r="L42" s="121"/>
    </row>
    <row r="43" spans="1:12" s="28" customFormat="1" ht="15" customHeight="1">
      <c r="A43" s="458"/>
      <c r="B43" s="450"/>
      <c r="C43" s="450"/>
      <c r="D43" s="450"/>
      <c r="E43" s="496" t="s">
        <v>83</v>
      </c>
      <c r="F43" s="448"/>
      <c r="G43" s="448"/>
      <c r="H43" s="448">
        <f t="shared" ref="H43:H44" si="6">F43+G43</f>
        <v>0</v>
      </c>
      <c r="I43" s="121"/>
      <c r="J43" s="121"/>
      <c r="K43" s="121"/>
      <c r="L43" s="121"/>
    </row>
    <row r="44" spans="1:12" s="28" customFormat="1" ht="15" customHeight="1">
      <c r="A44" s="458"/>
      <c r="B44" s="450"/>
      <c r="C44" s="450"/>
      <c r="D44" s="450"/>
      <c r="E44" s="527" t="s">
        <v>84</v>
      </c>
      <c r="F44" s="448">
        <v>2000000</v>
      </c>
      <c r="G44" s="448"/>
      <c r="H44" s="448">
        <f t="shared" si="6"/>
        <v>2000000</v>
      </c>
      <c r="I44" s="121"/>
      <c r="J44" s="121"/>
      <c r="K44" s="121"/>
      <c r="L44" s="121"/>
    </row>
    <row r="45" spans="1:12" s="28" customFormat="1" ht="15" customHeight="1">
      <c r="A45" s="458"/>
      <c r="B45" s="450"/>
      <c r="C45" s="450"/>
      <c r="D45" s="450"/>
      <c r="E45" s="526" t="s">
        <v>235</v>
      </c>
      <c r="F45" s="448"/>
      <c r="G45" s="448"/>
      <c r="H45" s="448"/>
      <c r="I45" s="121"/>
      <c r="J45" s="121"/>
      <c r="K45" s="121"/>
      <c r="L45" s="121"/>
    </row>
    <row r="46" spans="1:12" s="28" customFormat="1" ht="15" customHeight="1">
      <c r="A46" s="458"/>
      <c r="B46" s="450"/>
      <c r="C46" s="450"/>
      <c r="D46" s="450"/>
      <c r="E46" s="496" t="s">
        <v>83</v>
      </c>
      <c r="F46" s="448"/>
      <c r="G46" s="448"/>
      <c r="H46" s="448"/>
      <c r="I46" s="121"/>
      <c r="J46" s="121"/>
      <c r="K46" s="121"/>
      <c r="L46" s="121"/>
    </row>
    <row r="47" spans="1:12" s="28" customFormat="1" ht="15" customHeight="1">
      <c r="A47" s="458"/>
      <c r="B47" s="450"/>
      <c r="C47" s="450"/>
      <c r="D47" s="450"/>
      <c r="E47" s="527" t="s">
        <v>84</v>
      </c>
      <c r="F47" s="448"/>
      <c r="G47" s="448"/>
      <c r="H47" s="448"/>
      <c r="I47" s="121"/>
      <c r="J47" s="121"/>
      <c r="K47" s="121"/>
      <c r="L47" s="121"/>
    </row>
    <row r="48" spans="1:12" s="28" customFormat="1" ht="15" customHeight="1">
      <c r="A48" s="463"/>
      <c r="B48" s="613">
        <v>4</v>
      </c>
      <c r="C48" s="613" t="s">
        <v>129</v>
      </c>
      <c r="D48" s="613"/>
      <c r="E48" s="620" t="s">
        <v>190</v>
      </c>
      <c r="F48" s="616">
        <f>F49+F50</f>
        <v>0</v>
      </c>
      <c r="G48" s="616">
        <f>G49+G50</f>
        <v>0</v>
      </c>
      <c r="H48" s="616">
        <f t="shared" ref="H48:H95" si="7">F48</f>
        <v>0</v>
      </c>
      <c r="I48" s="121"/>
      <c r="J48" s="121"/>
      <c r="K48" s="121"/>
      <c r="L48" s="121"/>
    </row>
    <row r="49" spans="1:14" s="28" customFormat="1" ht="15" customHeight="1">
      <c r="A49" s="463"/>
      <c r="B49" s="613"/>
      <c r="C49" s="613"/>
      <c r="D49" s="613"/>
      <c r="E49" s="617" t="s">
        <v>83</v>
      </c>
      <c r="F49" s="616">
        <f>F52+F55+F58</f>
        <v>0</v>
      </c>
      <c r="G49" s="616">
        <f>G52+G55+G58</f>
        <v>0</v>
      </c>
      <c r="H49" s="616">
        <f t="shared" si="7"/>
        <v>0</v>
      </c>
      <c r="I49" s="121"/>
      <c r="J49" s="121"/>
      <c r="K49" s="121"/>
      <c r="L49" s="121"/>
    </row>
    <row r="50" spans="1:14" s="28" customFormat="1" ht="15" customHeight="1">
      <c r="A50" s="463"/>
      <c r="B50" s="613"/>
      <c r="C50" s="613"/>
      <c r="D50" s="613"/>
      <c r="E50" s="618" t="s">
        <v>84</v>
      </c>
      <c r="F50" s="616">
        <f>F53+F56+F59</f>
        <v>0</v>
      </c>
      <c r="G50" s="616">
        <f>G53+G56+G59</f>
        <v>0</v>
      </c>
      <c r="H50" s="616">
        <f t="shared" si="7"/>
        <v>0</v>
      </c>
      <c r="I50" s="121"/>
      <c r="J50" s="121"/>
      <c r="K50" s="121"/>
      <c r="L50" s="121"/>
    </row>
    <row r="51" spans="1:14" s="28" customFormat="1" ht="15" customHeight="1">
      <c r="A51" s="458"/>
      <c r="B51" s="450"/>
      <c r="C51" s="450"/>
      <c r="D51" s="450"/>
      <c r="E51" s="526" t="s">
        <v>260</v>
      </c>
      <c r="F51" s="448"/>
      <c r="G51" s="448">
        <f>G52+G53</f>
        <v>0</v>
      </c>
      <c r="H51" s="448">
        <f t="shared" si="7"/>
        <v>0</v>
      </c>
      <c r="I51" s="121"/>
      <c r="J51" s="121"/>
      <c r="K51" s="121"/>
      <c r="L51" s="121"/>
    </row>
    <row r="52" spans="1:14" s="28" customFormat="1" ht="15" customHeight="1">
      <c r="A52" s="458"/>
      <c r="B52" s="450"/>
      <c r="C52" s="450"/>
      <c r="D52" s="450"/>
      <c r="E52" s="496" t="s">
        <v>83</v>
      </c>
      <c r="F52" s="448"/>
      <c r="G52" s="448"/>
      <c r="H52" s="448">
        <f t="shared" si="7"/>
        <v>0</v>
      </c>
      <c r="I52" s="121"/>
      <c r="J52" s="121"/>
      <c r="K52" s="121"/>
      <c r="L52" s="121"/>
    </row>
    <row r="53" spans="1:14" s="28" customFormat="1" ht="15" customHeight="1">
      <c r="A53" s="458"/>
      <c r="B53" s="450"/>
      <c r="C53" s="450"/>
      <c r="D53" s="450"/>
      <c r="E53" s="527" t="s">
        <v>84</v>
      </c>
      <c r="F53" s="448"/>
      <c r="G53" s="448"/>
      <c r="H53" s="448">
        <f t="shared" si="7"/>
        <v>0</v>
      </c>
      <c r="I53" s="121"/>
      <c r="J53" s="121"/>
      <c r="K53" s="121"/>
      <c r="L53" s="121"/>
    </row>
    <row r="54" spans="1:14" s="28" customFormat="1" ht="15" customHeight="1">
      <c r="A54" s="458"/>
      <c r="B54" s="450"/>
      <c r="C54" s="450"/>
      <c r="D54" s="450"/>
      <c r="E54" s="526" t="s">
        <v>234</v>
      </c>
      <c r="F54" s="448"/>
      <c r="G54" s="448">
        <f>G55+G56</f>
        <v>0</v>
      </c>
      <c r="H54" s="448">
        <f t="shared" si="7"/>
        <v>0</v>
      </c>
      <c r="I54" s="121"/>
      <c r="J54" s="121"/>
      <c r="K54" s="121"/>
      <c r="L54" s="121"/>
    </row>
    <row r="55" spans="1:14" s="28" customFormat="1" ht="15" customHeight="1">
      <c r="A55" s="458"/>
      <c r="B55" s="450"/>
      <c r="C55" s="450"/>
      <c r="D55" s="450"/>
      <c r="E55" s="496" t="s">
        <v>83</v>
      </c>
      <c r="F55" s="448"/>
      <c r="G55" s="448"/>
      <c r="H55" s="448">
        <f t="shared" si="7"/>
        <v>0</v>
      </c>
      <c r="I55" s="121"/>
      <c r="J55" s="121"/>
      <c r="K55" s="121"/>
      <c r="L55" s="121"/>
    </row>
    <row r="56" spans="1:14" s="28" customFormat="1" ht="15" customHeight="1">
      <c r="A56" s="458"/>
      <c r="B56" s="450"/>
      <c r="C56" s="450"/>
      <c r="D56" s="450"/>
      <c r="E56" s="527" t="s">
        <v>84</v>
      </c>
      <c r="F56" s="448"/>
      <c r="G56" s="448"/>
      <c r="H56" s="448">
        <f t="shared" si="7"/>
        <v>0</v>
      </c>
      <c r="I56" s="121"/>
      <c r="J56" s="121"/>
      <c r="K56" s="121"/>
      <c r="L56" s="121"/>
    </row>
    <row r="57" spans="1:14" s="28" customFormat="1" ht="15" customHeight="1">
      <c r="A57" s="458"/>
      <c r="B57" s="450"/>
      <c r="C57" s="450"/>
      <c r="D57" s="450"/>
      <c r="E57" s="526" t="s">
        <v>235</v>
      </c>
      <c r="F57" s="448"/>
      <c r="G57" s="448">
        <f>G58+G59</f>
        <v>0</v>
      </c>
      <c r="H57" s="448">
        <f t="shared" si="7"/>
        <v>0</v>
      </c>
      <c r="I57" s="121"/>
      <c r="J57" s="121"/>
      <c r="K57" s="121"/>
      <c r="L57" s="121"/>
    </row>
    <row r="58" spans="1:14" s="28" customFormat="1" ht="15" customHeight="1">
      <c r="A58" s="458"/>
      <c r="B58" s="450"/>
      <c r="C58" s="450"/>
      <c r="D58" s="450"/>
      <c r="E58" s="496" t="s">
        <v>83</v>
      </c>
      <c r="F58" s="448"/>
      <c r="G58" s="448"/>
      <c r="H58" s="448">
        <f t="shared" si="7"/>
        <v>0</v>
      </c>
      <c r="I58" s="121"/>
      <c r="J58" s="121"/>
      <c r="K58" s="121"/>
      <c r="L58" s="121"/>
    </row>
    <row r="59" spans="1:14" s="28" customFormat="1" ht="15" customHeight="1">
      <c r="A59" s="458"/>
      <c r="B59" s="450"/>
      <c r="C59" s="450"/>
      <c r="D59" s="450"/>
      <c r="E59" s="527" t="s">
        <v>84</v>
      </c>
      <c r="F59" s="448"/>
      <c r="G59" s="448"/>
      <c r="H59" s="448">
        <f t="shared" si="7"/>
        <v>0</v>
      </c>
      <c r="I59" s="121"/>
      <c r="J59" s="121"/>
      <c r="K59" s="121"/>
      <c r="L59" s="121"/>
    </row>
    <row r="60" spans="1:14" s="28" customFormat="1" ht="15" customHeight="1">
      <c r="A60" s="463"/>
      <c r="B60" s="613">
        <v>5</v>
      </c>
      <c r="C60" s="613" t="s">
        <v>205</v>
      </c>
      <c r="D60" s="613"/>
      <c r="E60" s="620" t="s">
        <v>202</v>
      </c>
      <c r="F60" s="616">
        <f>F61+F62</f>
        <v>7000000</v>
      </c>
      <c r="G60" s="616">
        <f>G61+G62</f>
        <v>0</v>
      </c>
      <c r="H60" s="616">
        <f t="shared" si="7"/>
        <v>7000000</v>
      </c>
      <c r="I60" s="121"/>
      <c r="J60" s="121"/>
      <c r="K60" s="308"/>
      <c r="L60" s="309"/>
      <c r="M60" s="309"/>
      <c r="N60" s="309"/>
    </row>
    <row r="61" spans="1:14" s="28" customFormat="1" ht="15" customHeight="1">
      <c r="A61" s="458"/>
      <c r="B61" s="613"/>
      <c r="C61" s="613"/>
      <c r="D61" s="613"/>
      <c r="E61" s="617" t="s">
        <v>83</v>
      </c>
      <c r="F61" s="616">
        <f>F64+F67+F70</f>
        <v>7000000</v>
      </c>
      <c r="G61" s="616">
        <f>G64+G67+G70</f>
        <v>0</v>
      </c>
      <c r="H61" s="616">
        <f t="shared" si="7"/>
        <v>7000000</v>
      </c>
      <c r="I61" s="121"/>
      <c r="J61" s="121"/>
      <c r="K61" s="308"/>
      <c r="L61" s="309"/>
      <c r="M61" s="309"/>
      <c r="N61" s="309"/>
    </row>
    <row r="62" spans="1:14" s="28" customFormat="1" ht="15" customHeight="1">
      <c r="A62" s="458"/>
      <c r="B62" s="613"/>
      <c r="C62" s="613"/>
      <c r="D62" s="613"/>
      <c r="E62" s="618" t="s">
        <v>84</v>
      </c>
      <c r="F62" s="616">
        <f>F65+F68+F71</f>
        <v>0</v>
      </c>
      <c r="G62" s="616">
        <f>G65+G68+G71</f>
        <v>0</v>
      </c>
      <c r="H62" s="616">
        <f t="shared" si="7"/>
        <v>0</v>
      </c>
      <c r="I62" s="121"/>
      <c r="J62" s="121"/>
      <c r="K62" s="308"/>
      <c r="L62" s="309"/>
      <c r="M62" s="309"/>
      <c r="N62" s="309"/>
    </row>
    <row r="63" spans="1:14" s="28" customFormat="1" ht="15" customHeight="1">
      <c r="A63" s="458"/>
      <c r="B63" s="450"/>
      <c r="C63" s="450"/>
      <c r="D63" s="450"/>
      <c r="E63" s="526" t="s">
        <v>260</v>
      </c>
      <c r="F63" s="448">
        <f>F64+F65</f>
        <v>0</v>
      </c>
      <c r="G63" s="448">
        <f>G64+G65</f>
        <v>0</v>
      </c>
      <c r="H63" s="448">
        <f t="shared" si="7"/>
        <v>0</v>
      </c>
      <c r="I63" s="121"/>
      <c r="J63" s="121"/>
      <c r="K63" s="308"/>
      <c r="L63" s="309"/>
      <c r="M63" s="309"/>
      <c r="N63" s="309"/>
    </row>
    <row r="64" spans="1:14" s="28" customFormat="1" ht="15" customHeight="1">
      <c r="A64" s="458"/>
      <c r="B64" s="450"/>
      <c r="C64" s="450"/>
      <c r="D64" s="450"/>
      <c r="E64" s="496" t="s">
        <v>83</v>
      </c>
      <c r="F64" s="448"/>
      <c r="G64" s="448"/>
      <c r="H64" s="448">
        <f t="shared" si="7"/>
        <v>0</v>
      </c>
      <c r="I64" s="121"/>
      <c r="J64" s="121"/>
      <c r="K64" s="308"/>
      <c r="L64" s="309"/>
      <c r="M64" s="309"/>
      <c r="N64" s="309"/>
    </row>
    <row r="65" spans="1:14" s="28" customFormat="1" ht="15" customHeight="1">
      <c r="A65" s="458"/>
      <c r="B65" s="450"/>
      <c r="C65" s="450"/>
      <c r="D65" s="450"/>
      <c r="E65" s="527" t="s">
        <v>84</v>
      </c>
      <c r="F65" s="448"/>
      <c r="G65" s="448"/>
      <c r="H65" s="448">
        <f t="shared" si="7"/>
        <v>0</v>
      </c>
      <c r="I65" s="121"/>
      <c r="J65" s="121"/>
      <c r="K65" s="308"/>
      <c r="L65" s="309"/>
      <c r="M65" s="309"/>
      <c r="N65" s="309"/>
    </row>
    <row r="66" spans="1:14" s="28" customFormat="1" ht="15" customHeight="1">
      <c r="A66" s="458"/>
      <c r="B66" s="450"/>
      <c r="C66" s="450"/>
      <c r="D66" s="450"/>
      <c r="E66" s="526" t="s">
        <v>234</v>
      </c>
      <c r="F66" s="448">
        <f>F67+F68</f>
        <v>7000000</v>
      </c>
      <c r="G66" s="448">
        <v>0</v>
      </c>
      <c r="H66" s="448">
        <f>F66+G66</f>
        <v>7000000</v>
      </c>
      <c r="I66" s="121"/>
      <c r="J66" s="121"/>
      <c r="K66" s="308"/>
      <c r="L66" s="309"/>
      <c r="M66" s="309"/>
      <c r="N66" s="309"/>
    </row>
    <row r="67" spans="1:14" s="28" customFormat="1" ht="15" customHeight="1">
      <c r="A67" s="458"/>
      <c r="B67" s="450"/>
      <c r="C67" s="450"/>
      <c r="D67" s="450"/>
      <c r="E67" s="496" t="s">
        <v>83</v>
      </c>
      <c r="F67" s="448">
        <v>7000000</v>
      </c>
      <c r="G67" s="448">
        <v>0</v>
      </c>
      <c r="H67" s="448">
        <f>F67+G67</f>
        <v>7000000</v>
      </c>
      <c r="I67" s="121"/>
      <c r="J67" s="121"/>
      <c r="K67" s="310"/>
      <c r="L67" s="311"/>
      <c r="M67" s="311"/>
      <c r="N67" s="311"/>
    </row>
    <row r="68" spans="1:14" s="28" customFormat="1" ht="15" customHeight="1">
      <c r="A68" s="458"/>
      <c r="B68" s="450"/>
      <c r="C68" s="450"/>
      <c r="D68" s="450"/>
      <c r="E68" s="527" t="s">
        <v>84</v>
      </c>
      <c r="F68" s="448"/>
      <c r="G68" s="448"/>
      <c r="H68" s="448">
        <f t="shared" si="7"/>
        <v>0</v>
      </c>
      <c r="I68" s="121"/>
      <c r="J68" s="121"/>
      <c r="K68" s="121"/>
      <c r="L68" s="121"/>
    </row>
    <row r="69" spans="1:14" s="28" customFormat="1" ht="15" customHeight="1">
      <c r="A69" s="458"/>
      <c r="B69" s="450"/>
      <c r="C69" s="450"/>
      <c r="D69" s="450"/>
      <c r="E69" s="526" t="s">
        <v>235</v>
      </c>
      <c r="F69" s="448"/>
      <c r="G69" s="448">
        <f>G70+G71</f>
        <v>0</v>
      </c>
      <c r="H69" s="448">
        <f t="shared" si="7"/>
        <v>0</v>
      </c>
      <c r="I69" s="121"/>
      <c r="J69" s="121"/>
      <c r="K69" s="121"/>
      <c r="L69" s="121"/>
    </row>
    <row r="70" spans="1:14" s="28" customFormat="1" ht="15" customHeight="1">
      <c r="A70" s="458"/>
      <c r="B70" s="450"/>
      <c r="C70" s="450"/>
      <c r="D70" s="450"/>
      <c r="E70" s="496" t="s">
        <v>83</v>
      </c>
      <c r="F70" s="448"/>
      <c r="G70" s="448"/>
      <c r="H70" s="448">
        <f t="shared" si="7"/>
        <v>0</v>
      </c>
      <c r="I70" s="121"/>
      <c r="J70" s="121"/>
      <c r="K70" s="121"/>
      <c r="L70" s="121"/>
    </row>
    <row r="71" spans="1:14" s="28" customFormat="1" ht="15" customHeight="1">
      <c r="A71" s="458"/>
      <c r="B71" s="450"/>
      <c r="C71" s="450"/>
      <c r="D71" s="450"/>
      <c r="E71" s="527" t="s">
        <v>84</v>
      </c>
      <c r="F71" s="448"/>
      <c r="G71" s="448"/>
      <c r="H71" s="448">
        <f t="shared" si="7"/>
        <v>0</v>
      </c>
      <c r="I71" s="121"/>
      <c r="J71" s="121"/>
      <c r="K71" s="121"/>
      <c r="L71" s="121"/>
    </row>
    <row r="72" spans="1:14" s="28" customFormat="1" ht="15" customHeight="1">
      <c r="A72" s="463"/>
      <c r="B72" s="613">
        <v>6</v>
      </c>
      <c r="C72" s="613" t="s">
        <v>201</v>
      </c>
      <c r="D72" s="613"/>
      <c r="E72" s="620" t="s">
        <v>203</v>
      </c>
      <c r="F72" s="616">
        <f>F73+F74</f>
        <v>2633308</v>
      </c>
      <c r="G72" s="616">
        <f>G73+G74</f>
        <v>0</v>
      </c>
      <c r="H72" s="616">
        <f t="shared" si="7"/>
        <v>2633308</v>
      </c>
      <c r="I72" s="121"/>
      <c r="J72" s="121"/>
      <c r="K72" s="121"/>
      <c r="L72" s="121"/>
    </row>
    <row r="73" spans="1:14" s="28" customFormat="1" ht="15" customHeight="1">
      <c r="A73" s="463"/>
      <c r="B73" s="613"/>
      <c r="C73" s="613"/>
      <c r="D73" s="613"/>
      <c r="E73" s="617" t="s">
        <v>83</v>
      </c>
      <c r="F73" s="616">
        <f>F76+F79+F82</f>
        <v>2093308.0000000002</v>
      </c>
      <c r="G73" s="616"/>
      <c r="H73" s="616">
        <f t="shared" si="7"/>
        <v>2093308.0000000002</v>
      </c>
      <c r="I73" s="121"/>
      <c r="J73" s="121"/>
      <c r="K73" s="121"/>
      <c r="L73" s="121"/>
    </row>
    <row r="74" spans="1:14" s="28" customFormat="1" ht="15" customHeight="1">
      <c r="A74" s="463"/>
      <c r="B74" s="613"/>
      <c r="C74" s="613"/>
      <c r="D74" s="613"/>
      <c r="E74" s="618" t="s">
        <v>84</v>
      </c>
      <c r="F74" s="616">
        <f>F77+F80+F83</f>
        <v>540000</v>
      </c>
      <c r="G74" s="616"/>
      <c r="H74" s="616">
        <f t="shared" si="7"/>
        <v>540000</v>
      </c>
      <c r="I74" s="121"/>
      <c r="J74" s="121"/>
      <c r="K74" s="121"/>
      <c r="L74" s="121"/>
    </row>
    <row r="75" spans="1:14" s="28" customFormat="1" ht="15" customHeight="1">
      <c r="A75" s="458"/>
      <c r="B75" s="450"/>
      <c r="C75" s="450"/>
      <c r="D75" s="450"/>
      <c r="E75" s="526" t="s">
        <v>260</v>
      </c>
      <c r="F75" s="448"/>
      <c r="G75" s="448">
        <f>G76+G77</f>
        <v>0</v>
      </c>
      <c r="H75" s="448">
        <f t="shared" si="7"/>
        <v>0</v>
      </c>
      <c r="I75" s="121"/>
      <c r="J75" s="121"/>
      <c r="K75" s="121"/>
      <c r="L75" s="121"/>
    </row>
    <row r="76" spans="1:14" s="28" customFormat="1" ht="15" customHeight="1">
      <c r="A76" s="458"/>
      <c r="B76" s="450"/>
      <c r="C76" s="450"/>
      <c r="D76" s="450"/>
      <c r="E76" s="496" t="s">
        <v>83</v>
      </c>
      <c r="F76" s="448">
        <f>80000+123308</f>
        <v>203308</v>
      </c>
      <c r="G76" s="448"/>
      <c r="H76" s="448">
        <f t="shared" si="7"/>
        <v>203308</v>
      </c>
      <c r="I76" s="121"/>
      <c r="J76" s="121"/>
      <c r="K76" s="121"/>
      <c r="L76" s="121"/>
    </row>
    <row r="77" spans="1:14" s="28" customFormat="1" ht="15" customHeight="1">
      <c r="A77" s="458"/>
      <c r="B77" s="450"/>
      <c r="C77" s="450"/>
      <c r="D77" s="450"/>
      <c r="E77" s="527" t="s">
        <v>84</v>
      </c>
      <c r="F77" s="448"/>
      <c r="G77" s="448"/>
      <c r="H77" s="448">
        <f t="shared" si="7"/>
        <v>0</v>
      </c>
      <c r="I77" s="121"/>
      <c r="J77" s="121"/>
      <c r="K77" s="121"/>
      <c r="L77" s="121"/>
    </row>
    <row r="78" spans="1:14" s="28" customFormat="1" ht="15" customHeight="1">
      <c r="A78" s="458"/>
      <c r="B78" s="450"/>
      <c r="C78" s="450"/>
      <c r="D78" s="450"/>
      <c r="E78" s="526" t="s">
        <v>234</v>
      </c>
      <c r="F78" s="448">
        <f>F79+F80</f>
        <v>2430000</v>
      </c>
      <c r="G78" s="448"/>
      <c r="H78" s="448">
        <f t="shared" si="7"/>
        <v>2430000</v>
      </c>
      <c r="I78" s="121"/>
      <c r="J78" s="121"/>
      <c r="K78" s="121"/>
      <c r="L78" s="121"/>
    </row>
    <row r="79" spans="1:14" s="28" customFormat="1" ht="15" customHeight="1">
      <c r="A79" s="458"/>
      <c r="B79" s="450"/>
      <c r="C79" s="450"/>
      <c r="D79" s="450"/>
      <c r="E79" s="496" t="s">
        <v>83</v>
      </c>
      <c r="F79" s="448">
        <f>F67*27%</f>
        <v>1890000.0000000002</v>
      </c>
      <c r="G79" s="448"/>
      <c r="H79" s="448">
        <f t="shared" si="7"/>
        <v>1890000.0000000002</v>
      </c>
      <c r="I79" s="121"/>
      <c r="J79" s="121"/>
      <c r="K79" s="121"/>
      <c r="L79" s="121"/>
    </row>
    <row r="80" spans="1:14" s="28" customFormat="1" ht="15" customHeight="1">
      <c r="A80" s="458"/>
      <c r="B80" s="450"/>
      <c r="C80" s="450"/>
      <c r="D80" s="450"/>
      <c r="E80" s="527" t="s">
        <v>84</v>
      </c>
      <c r="F80" s="448">
        <f>2000000*27%</f>
        <v>540000</v>
      </c>
      <c r="G80" s="448"/>
      <c r="H80" s="448">
        <f t="shared" si="7"/>
        <v>540000</v>
      </c>
      <c r="I80" s="121"/>
      <c r="J80" s="121"/>
      <c r="K80" s="121"/>
      <c r="L80" s="121"/>
    </row>
    <row r="81" spans="1:12" s="28" customFormat="1" ht="15" customHeight="1">
      <c r="A81" s="458"/>
      <c r="B81" s="450"/>
      <c r="C81" s="450"/>
      <c r="D81" s="450"/>
      <c r="E81" s="526" t="s">
        <v>235</v>
      </c>
      <c r="F81" s="448"/>
      <c r="G81" s="448"/>
      <c r="H81" s="448">
        <f t="shared" si="7"/>
        <v>0</v>
      </c>
      <c r="I81" s="121"/>
      <c r="J81" s="121"/>
      <c r="K81" s="121"/>
      <c r="L81" s="121"/>
    </row>
    <row r="82" spans="1:12" s="28" customFormat="1" ht="15" customHeight="1">
      <c r="A82" s="458"/>
      <c r="B82" s="450"/>
      <c r="C82" s="450"/>
      <c r="D82" s="450"/>
      <c r="E82" s="496" t="s">
        <v>83</v>
      </c>
      <c r="F82" s="448"/>
      <c r="G82" s="448"/>
      <c r="H82" s="448">
        <f t="shared" si="7"/>
        <v>0</v>
      </c>
      <c r="I82" s="121"/>
      <c r="J82" s="121"/>
      <c r="K82" s="121"/>
      <c r="L82" s="121"/>
    </row>
    <row r="83" spans="1:12" s="28" customFormat="1" ht="15" customHeight="1">
      <c r="A83" s="458"/>
      <c r="B83" s="450"/>
      <c r="C83" s="450"/>
      <c r="D83" s="450"/>
      <c r="E83" s="527" t="s">
        <v>84</v>
      </c>
      <c r="F83" s="448"/>
      <c r="G83" s="448"/>
      <c r="H83" s="448">
        <f t="shared" si="7"/>
        <v>0</v>
      </c>
      <c r="I83" s="121"/>
      <c r="J83" s="121"/>
      <c r="K83" s="121"/>
      <c r="L83" s="121"/>
    </row>
    <row r="84" spans="1:12" s="28" customFormat="1" ht="15" customHeight="1">
      <c r="A84" s="463"/>
      <c r="B84" s="613">
        <v>8</v>
      </c>
      <c r="C84" s="613" t="s">
        <v>131</v>
      </c>
      <c r="D84" s="613"/>
      <c r="E84" s="620" t="s">
        <v>185</v>
      </c>
      <c r="F84" s="616">
        <f>F85+F86</f>
        <v>2000</v>
      </c>
      <c r="G84" s="616">
        <f>G85+G86</f>
        <v>0</v>
      </c>
      <c r="H84" s="616">
        <f t="shared" si="7"/>
        <v>2000</v>
      </c>
      <c r="I84" s="121"/>
      <c r="J84" s="121"/>
      <c r="K84" s="121"/>
      <c r="L84" s="121"/>
    </row>
    <row r="85" spans="1:12" s="28" customFormat="1" ht="15" customHeight="1">
      <c r="A85" s="463"/>
      <c r="B85" s="613"/>
      <c r="C85" s="613"/>
      <c r="D85" s="613"/>
      <c r="E85" s="617" t="s">
        <v>83</v>
      </c>
      <c r="F85" s="616">
        <f>F88+F91+F94</f>
        <v>1500</v>
      </c>
      <c r="G85" s="616"/>
      <c r="H85" s="616">
        <f t="shared" si="7"/>
        <v>1500</v>
      </c>
      <c r="I85" s="121"/>
      <c r="J85" s="121"/>
      <c r="K85" s="121"/>
      <c r="L85" s="121"/>
    </row>
    <row r="86" spans="1:12" s="28" customFormat="1" ht="15" customHeight="1">
      <c r="A86" s="463"/>
      <c r="B86" s="613"/>
      <c r="C86" s="613"/>
      <c r="D86" s="613"/>
      <c r="E86" s="618" t="s">
        <v>84</v>
      </c>
      <c r="F86" s="616">
        <f>F89+F92+F95</f>
        <v>500</v>
      </c>
      <c r="G86" s="616">
        <f>G89+G92+G95</f>
        <v>0</v>
      </c>
      <c r="H86" s="616">
        <f t="shared" si="7"/>
        <v>500</v>
      </c>
      <c r="I86" s="121"/>
      <c r="J86" s="121"/>
      <c r="K86" s="121"/>
      <c r="L86" s="121"/>
    </row>
    <row r="87" spans="1:12" s="28" customFormat="1" ht="15" customHeight="1">
      <c r="A87" s="458"/>
      <c r="B87" s="450"/>
      <c r="C87" s="450"/>
      <c r="D87" s="450"/>
      <c r="E87" s="526" t="s">
        <v>260</v>
      </c>
      <c r="F87" s="448">
        <f>F88+F89</f>
        <v>0</v>
      </c>
      <c r="G87" s="448"/>
      <c r="H87" s="448">
        <f t="shared" si="7"/>
        <v>0</v>
      </c>
      <c r="I87" s="121"/>
      <c r="J87" s="121"/>
      <c r="K87" s="121"/>
      <c r="L87" s="121"/>
    </row>
    <row r="88" spans="1:12" s="28" customFormat="1" ht="15" customHeight="1">
      <c r="A88" s="458"/>
      <c r="B88" s="450"/>
      <c r="C88" s="450"/>
      <c r="D88" s="450"/>
      <c r="E88" s="496" t="s">
        <v>83</v>
      </c>
      <c r="F88" s="448"/>
      <c r="G88" s="448"/>
      <c r="H88" s="448">
        <f t="shared" si="7"/>
        <v>0</v>
      </c>
      <c r="I88" s="121"/>
      <c r="J88" s="121"/>
      <c r="K88" s="121"/>
      <c r="L88" s="121"/>
    </row>
    <row r="89" spans="1:12" s="28" customFormat="1" ht="15" customHeight="1">
      <c r="A89" s="458"/>
      <c r="B89" s="450"/>
      <c r="C89" s="450"/>
      <c r="D89" s="450"/>
      <c r="E89" s="527" t="s">
        <v>84</v>
      </c>
      <c r="F89" s="448"/>
      <c r="G89" s="448"/>
      <c r="H89" s="448">
        <f t="shared" si="7"/>
        <v>0</v>
      </c>
      <c r="I89" s="121"/>
      <c r="J89" s="121"/>
      <c r="K89" s="121"/>
      <c r="L89" s="121"/>
    </row>
    <row r="90" spans="1:12" s="28" customFormat="1" ht="15" customHeight="1">
      <c r="A90" s="458"/>
      <c r="B90" s="450"/>
      <c r="C90" s="450"/>
      <c r="D90" s="450"/>
      <c r="E90" s="526" t="s">
        <v>234</v>
      </c>
      <c r="F90" s="448">
        <f>F91+F92</f>
        <v>1000</v>
      </c>
      <c r="G90" s="448"/>
      <c r="H90" s="448">
        <f t="shared" si="7"/>
        <v>1000</v>
      </c>
      <c r="I90" s="121"/>
      <c r="J90" s="121"/>
      <c r="K90" s="121"/>
      <c r="L90" s="121"/>
    </row>
    <row r="91" spans="1:12" s="28" customFormat="1" ht="15" customHeight="1">
      <c r="A91" s="458"/>
      <c r="B91" s="450"/>
      <c r="C91" s="450"/>
      <c r="D91" s="450"/>
      <c r="E91" s="496" t="s">
        <v>83</v>
      </c>
      <c r="F91" s="448">
        <v>500</v>
      </c>
      <c r="G91" s="448"/>
      <c r="H91" s="448">
        <f t="shared" si="7"/>
        <v>500</v>
      </c>
      <c r="I91" s="121"/>
      <c r="J91" s="121"/>
      <c r="K91" s="121"/>
      <c r="L91" s="121"/>
    </row>
    <row r="92" spans="1:12" s="28" customFormat="1" ht="15" customHeight="1">
      <c r="A92" s="458"/>
      <c r="B92" s="450"/>
      <c r="C92" s="450"/>
      <c r="D92" s="450"/>
      <c r="E92" s="527" t="s">
        <v>84</v>
      </c>
      <c r="F92" s="448">
        <v>500</v>
      </c>
      <c r="G92" s="448"/>
      <c r="H92" s="448">
        <f t="shared" si="7"/>
        <v>500</v>
      </c>
      <c r="I92" s="121"/>
      <c r="J92" s="121"/>
      <c r="K92" s="121"/>
      <c r="L92" s="121"/>
    </row>
    <row r="93" spans="1:12" s="28" customFormat="1" ht="15" customHeight="1">
      <c r="A93" s="458"/>
      <c r="B93" s="450"/>
      <c r="C93" s="450"/>
      <c r="D93" s="450"/>
      <c r="E93" s="526" t="s">
        <v>235</v>
      </c>
      <c r="F93" s="448">
        <f>F94+F95</f>
        <v>1000</v>
      </c>
      <c r="G93" s="448"/>
      <c r="H93" s="448">
        <f t="shared" si="7"/>
        <v>1000</v>
      </c>
      <c r="I93" s="121"/>
      <c r="J93" s="121"/>
      <c r="K93" s="121"/>
      <c r="L93" s="121"/>
    </row>
    <row r="94" spans="1:12" s="28" customFormat="1" ht="15" customHeight="1">
      <c r="A94" s="458"/>
      <c r="B94" s="450"/>
      <c r="C94" s="450"/>
      <c r="D94" s="450"/>
      <c r="E94" s="496" t="s">
        <v>83</v>
      </c>
      <c r="F94" s="448">
        <v>1000</v>
      </c>
      <c r="G94" s="448"/>
      <c r="H94" s="448">
        <f t="shared" si="7"/>
        <v>1000</v>
      </c>
      <c r="I94" s="121"/>
      <c r="J94" s="121"/>
      <c r="K94" s="121"/>
      <c r="L94" s="121"/>
    </row>
    <row r="95" spans="1:12" s="28" customFormat="1" ht="15" customHeight="1">
      <c r="A95" s="458"/>
      <c r="B95" s="450"/>
      <c r="C95" s="450"/>
      <c r="D95" s="450"/>
      <c r="E95" s="527" t="s">
        <v>84</v>
      </c>
      <c r="F95" s="448"/>
      <c r="G95" s="448"/>
      <c r="H95" s="448">
        <f t="shared" si="7"/>
        <v>0</v>
      </c>
      <c r="I95" s="121"/>
      <c r="J95" s="121"/>
      <c r="K95" s="121"/>
      <c r="L95" s="121"/>
    </row>
    <row r="96" spans="1:12" s="28" customFormat="1" ht="15" customHeight="1">
      <c r="A96" s="463"/>
      <c r="B96" s="613">
        <v>10</v>
      </c>
      <c r="C96" s="613" t="s">
        <v>171</v>
      </c>
      <c r="D96" s="613"/>
      <c r="E96" s="620" t="s">
        <v>173</v>
      </c>
      <c r="F96" s="616">
        <f>F97+F98</f>
        <v>2000</v>
      </c>
      <c r="G96" s="616">
        <f>G97+G98</f>
        <v>0</v>
      </c>
      <c r="H96" s="616">
        <f t="shared" ref="H96:H137" si="8">F96</f>
        <v>2000</v>
      </c>
      <c r="I96" s="121"/>
      <c r="J96" s="121"/>
      <c r="K96" s="121"/>
      <c r="L96" s="121"/>
    </row>
    <row r="97" spans="1:12" s="28" customFormat="1" ht="15" customHeight="1">
      <c r="A97" s="463"/>
      <c r="B97" s="613"/>
      <c r="C97" s="613"/>
      <c r="D97" s="613"/>
      <c r="E97" s="617" t="s">
        <v>83</v>
      </c>
      <c r="F97" s="616">
        <f>F100+F103+F106</f>
        <v>2000</v>
      </c>
      <c r="G97" s="616">
        <f>G100+G103+G106</f>
        <v>0</v>
      </c>
      <c r="H97" s="616">
        <f t="shared" si="8"/>
        <v>2000</v>
      </c>
      <c r="I97" s="121"/>
      <c r="J97" s="121"/>
      <c r="K97" s="121"/>
      <c r="L97" s="121"/>
    </row>
    <row r="98" spans="1:12" s="28" customFormat="1" ht="15" customHeight="1">
      <c r="A98" s="463"/>
      <c r="B98" s="613"/>
      <c r="C98" s="613"/>
      <c r="D98" s="613"/>
      <c r="E98" s="618" t="s">
        <v>84</v>
      </c>
      <c r="F98" s="616">
        <f>F101+F104+F107</f>
        <v>0</v>
      </c>
      <c r="G98" s="616">
        <f>G101+G104+G107</f>
        <v>0</v>
      </c>
      <c r="H98" s="616">
        <f t="shared" si="8"/>
        <v>0</v>
      </c>
      <c r="I98" s="121"/>
      <c r="J98" s="121"/>
      <c r="K98" s="121"/>
      <c r="L98" s="121"/>
    </row>
    <row r="99" spans="1:12" s="28" customFormat="1" ht="15" customHeight="1">
      <c r="A99" s="458"/>
      <c r="B99" s="450"/>
      <c r="C99" s="450"/>
      <c r="D99" s="450"/>
      <c r="E99" s="526" t="s">
        <v>260</v>
      </c>
      <c r="F99" s="448"/>
      <c r="G99" s="448"/>
      <c r="H99" s="448">
        <f t="shared" si="8"/>
        <v>0</v>
      </c>
      <c r="I99" s="121"/>
      <c r="J99" s="121"/>
      <c r="K99" s="121"/>
      <c r="L99" s="121"/>
    </row>
    <row r="100" spans="1:12" s="28" customFormat="1" ht="15" customHeight="1">
      <c r="A100" s="458"/>
      <c r="B100" s="450"/>
      <c r="C100" s="450"/>
      <c r="D100" s="450"/>
      <c r="E100" s="496" t="s">
        <v>83</v>
      </c>
      <c r="F100" s="448"/>
      <c r="G100" s="448"/>
      <c r="H100" s="448">
        <f t="shared" si="8"/>
        <v>0</v>
      </c>
      <c r="I100" s="121"/>
      <c r="J100" s="121"/>
      <c r="K100" s="121"/>
      <c r="L100" s="121"/>
    </row>
    <row r="101" spans="1:12" s="28" customFormat="1" ht="15" customHeight="1">
      <c r="A101" s="458"/>
      <c r="B101" s="450"/>
      <c r="C101" s="450"/>
      <c r="D101" s="450"/>
      <c r="E101" s="527" t="s">
        <v>84</v>
      </c>
      <c r="F101" s="448"/>
      <c r="G101" s="448"/>
      <c r="H101" s="448">
        <f t="shared" si="8"/>
        <v>0</v>
      </c>
      <c r="I101" s="121"/>
      <c r="J101" s="121"/>
      <c r="K101" s="121"/>
      <c r="L101" s="121"/>
    </row>
    <row r="102" spans="1:12" s="28" customFormat="1" ht="15" customHeight="1">
      <c r="A102" s="458"/>
      <c r="B102" s="450"/>
      <c r="C102" s="450"/>
      <c r="D102" s="450"/>
      <c r="E102" s="526" t="s">
        <v>234</v>
      </c>
      <c r="F102" s="448"/>
      <c r="G102" s="448"/>
      <c r="H102" s="448">
        <f t="shared" si="8"/>
        <v>0</v>
      </c>
      <c r="I102" s="121"/>
      <c r="J102" s="121"/>
      <c r="K102" s="121"/>
      <c r="L102" s="121"/>
    </row>
    <row r="103" spans="1:12" s="28" customFormat="1" ht="15" customHeight="1">
      <c r="A103" s="458"/>
      <c r="B103" s="450"/>
      <c r="C103" s="450"/>
      <c r="D103" s="450"/>
      <c r="E103" s="496" t="s">
        <v>83</v>
      </c>
      <c r="F103" s="448"/>
      <c r="G103" s="448"/>
      <c r="H103" s="448">
        <f t="shared" si="8"/>
        <v>0</v>
      </c>
      <c r="I103" s="121"/>
      <c r="J103" s="121"/>
      <c r="K103" s="121"/>
      <c r="L103" s="121"/>
    </row>
    <row r="104" spans="1:12" s="28" customFormat="1" ht="16.5" customHeight="1">
      <c r="A104" s="458"/>
      <c r="B104" s="450"/>
      <c r="C104" s="450"/>
      <c r="D104" s="450"/>
      <c r="E104" s="527" t="s">
        <v>84</v>
      </c>
      <c r="F104" s="448"/>
      <c r="G104" s="448"/>
      <c r="H104" s="448">
        <f t="shared" si="8"/>
        <v>0</v>
      </c>
      <c r="I104" s="121"/>
      <c r="J104" s="121"/>
      <c r="K104" s="121"/>
      <c r="L104" s="121"/>
    </row>
    <row r="105" spans="1:12" s="28" customFormat="1" ht="15" customHeight="1">
      <c r="A105" s="458"/>
      <c r="B105" s="450"/>
      <c r="C105" s="450"/>
      <c r="D105" s="450"/>
      <c r="E105" s="526" t="s">
        <v>235</v>
      </c>
      <c r="F105" s="448">
        <f>F106+F107</f>
        <v>2000</v>
      </c>
      <c r="G105" s="448"/>
      <c r="H105" s="448">
        <f t="shared" si="8"/>
        <v>2000</v>
      </c>
      <c r="I105" s="121"/>
      <c r="J105" s="121"/>
      <c r="K105" s="121"/>
      <c r="L105" s="121"/>
    </row>
    <row r="106" spans="1:12" s="28" customFormat="1" ht="15" customHeight="1">
      <c r="A106" s="458"/>
      <c r="B106" s="450"/>
      <c r="C106" s="450"/>
      <c r="D106" s="450"/>
      <c r="E106" s="496" t="s">
        <v>83</v>
      </c>
      <c r="F106" s="448">
        <v>2000</v>
      </c>
      <c r="G106" s="448"/>
      <c r="H106" s="448">
        <f t="shared" si="8"/>
        <v>2000</v>
      </c>
      <c r="I106" s="121"/>
      <c r="J106" s="121"/>
      <c r="K106" s="121"/>
      <c r="L106" s="121"/>
    </row>
    <row r="107" spans="1:12" s="28" customFormat="1" ht="15" customHeight="1">
      <c r="A107" s="458"/>
      <c r="B107" s="450"/>
      <c r="C107" s="450"/>
      <c r="D107" s="450"/>
      <c r="E107" s="527" t="s">
        <v>84</v>
      </c>
      <c r="F107" s="448"/>
      <c r="G107" s="448"/>
      <c r="H107" s="448">
        <f t="shared" si="8"/>
        <v>0</v>
      </c>
      <c r="I107" s="121"/>
      <c r="J107" s="121"/>
      <c r="K107" s="121"/>
      <c r="L107" s="121"/>
    </row>
    <row r="108" spans="1:12" ht="14.25" customHeight="1">
      <c r="A108" s="826" t="s">
        <v>133</v>
      </c>
      <c r="B108" s="826"/>
      <c r="C108" s="826"/>
      <c r="D108" s="826"/>
      <c r="E108" s="826"/>
      <c r="F108" s="605">
        <f>F111</f>
        <v>0</v>
      </c>
      <c r="G108" s="605">
        <f>G111</f>
        <v>0</v>
      </c>
      <c r="H108" s="621">
        <f t="shared" si="8"/>
        <v>0</v>
      </c>
      <c r="I108" s="125"/>
      <c r="J108" s="119"/>
      <c r="K108" s="119"/>
      <c r="L108" s="119"/>
    </row>
    <row r="109" spans="1:12" ht="14.25" customHeight="1">
      <c r="A109" s="460"/>
      <c r="B109" s="612"/>
      <c r="C109" s="612"/>
      <c r="D109" s="612"/>
      <c r="E109" s="607" t="s">
        <v>83</v>
      </c>
      <c r="F109" s="605">
        <f t="shared" ref="F109:G110" si="9">F112</f>
        <v>0</v>
      </c>
      <c r="G109" s="605">
        <f t="shared" si="9"/>
        <v>0</v>
      </c>
      <c r="H109" s="621"/>
      <c r="I109" s="125"/>
      <c r="J109" s="119"/>
      <c r="K109" s="119"/>
      <c r="L109" s="119"/>
    </row>
    <row r="110" spans="1:12" ht="14.25" customHeight="1">
      <c r="A110" s="460"/>
      <c r="B110" s="612"/>
      <c r="C110" s="612"/>
      <c r="D110" s="612"/>
      <c r="E110" s="608" t="s">
        <v>84</v>
      </c>
      <c r="F110" s="605">
        <f t="shared" si="9"/>
        <v>0</v>
      </c>
      <c r="G110" s="605">
        <f t="shared" si="9"/>
        <v>0</v>
      </c>
      <c r="H110" s="621"/>
      <c r="I110" s="125"/>
      <c r="J110" s="119"/>
      <c r="K110" s="119"/>
      <c r="L110" s="119"/>
    </row>
    <row r="111" spans="1:12" ht="14.25" customHeight="1">
      <c r="A111" s="463"/>
      <c r="B111" s="622">
        <v>1</v>
      </c>
      <c r="C111" s="622" t="s">
        <v>191</v>
      </c>
      <c r="D111" s="622" t="s">
        <v>72</v>
      </c>
      <c r="E111" s="623" t="s">
        <v>213</v>
      </c>
      <c r="F111" s="624">
        <f>F112+F113</f>
        <v>0</v>
      </c>
      <c r="G111" s="624">
        <f>G112+G113</f>
        <v>0</v>
      </c>
      <c r="H111" s="616">
        <f>F111+G111</f>
        <v>0</v>
      </c>
      <c r="I111" s="119"/>
      <c r="J111" s="119"/>
      <c r="K111" s="119"/>
      <c r="L111" s="119"/>
    </row>
    <row r="112" spans="1:12" ht="14.25" customHeight="1">
      <c r="A112" s="463"/>
      <c r="B112" s="622"/>
      <c r="C112" s="622"/>
      <c r="D112" s="622"/>
      <c r="E112" s="617" t="s">
        <v>83</v>
      </c>
      <c r="F112" s="624">
        <f>F115+F118+F121</f>
        <v>0</v>
      </c>
      <c r="G112" s="624">
        <f>G115+G118+G121</f>
        <v>0</v>
      </c>
      <c r="H112" s="616">
        <f t="shared" ref="H112:H113" si="10">F112+G112</f>
        <v>0</v>
      </c>
      <c r="I112" s="119"/>
      <c r="J112" s="119"/>
      <c r="K112" s="119"/>
      <c r="L112" s="119"/>
    </row>
    <row r="113" spans="1:12" ht="14.25" customHeight="1">
      <c r="A113" s="463"/>
      <c r="B113" s="622"/>
      <c r="C113" s="622"/>
      <c r="D113" s="622"/>
      <c r="E113" s="618" t="s">
        <v>84</v>
      </c>
      <c r="F113" s="624">
        <f>F116+F119+F122</f>
        <v>0</v>
      </c>
      <c r="G113" s="624">
        <f>G116+G119+G122</f>
        <v>0</v>
      </c>
      <c r="H113" s="616">
        <f t="shared" si="10"/>
        <v>0</v>
      </c>
      <c r="I113" s="119"/>
      <c r="J113" s="119"/>
      <c r="K113" s="119"/>
      <c r="L113" s="119"/>
    </row>
    <row r="114" spans="1:12" ht="14.25" customHeight="1">
      <c r="A114" s="458"/>
      <c r="B114" s="625"/>
      <c r="C114" s="625"/>
      <c r="D114" s="625"/>
      <c r="E114" s="526" t="s">
        <v>260</v>
      </c>
      <c r="F114" s="626">
        <f>F115+F116</f>
        <v>0</v>
      </c>
      <c r="G114" s="626">
        <f>G115+G116</f>
        <v>0</v>
      </c>
      <c r="H114" s="448">
        <f>F114+G114</f>
        <v>0</v>
      </c>
      <c r="I114" s="119"/>
      <c r="J114" s="119"/>
      <c r="K114" s="119"/>
      <c r="L114" s="119"/>
    </row>
    <row r="115" spans="1:12" ht="14.25" customHeight="1">
      <c r="A115" s="458"/>
      <c r="B115" s="625"/>
      <c r="C115" s="625"/>
      <c r="D115" s="625"/>
      <c r="E115" s="496" t="s">
        <v>83</v>
      </c>
      <c r="F115" s="626"/>
      <c r="G115" s="448"/>
      <c r="H115" s="448">
        <f t="shared" ref="H115:H122" si="11">F115+G115</f>
        <v>0</v>
      </c>
      <c r="I115" s="119"/>
      <c r="J115" s="119"/>
      <c r="K115" s="119"/>
      <c r="L115" s="119"/>
    </row>
    <row r="116" spans="1:12" ht="14.25" customHeight="1">
      <c r="A116" s="458"/>
      <c r="B116" s="625"/>
      <c r="C116" s="625"/>
      <c r="D116" s="625"/>
      <c r="E116" s="527" t="s">
        <v>84</v>
      </c>
      <c r="F116" s="626"/>
      <c r="G116" s="448"/>
      <c r="H116" s="448">
        <f t="shared" si="11"/>
        <v>0</v>
      </c>
      <c r="I116" s="119"/>
      <c r="J116" s="119"/>
      <c r="K116" s="119"/>
      <c r="L116" s="119"/>
    </row>
    <row r="117" spans="1:12" ht="14.25" customHeight="1">
      <c r="A117" s="458"/>
      <c r="B117" s="625"/>
      <c r="C117" s="625"/>
      <c r="D117" s="625"/>
      <c r="E117" s="526" t="s">
        <v>234</v>
      </c>
      <c r="F117" s="626"/>
      <c r="G117" s="448"/>
      <c r="H117" s="448">
        <f t="shared" si="11"/>
        <v>0</v>
      </c>
      <c r="I117" s="119"/>
      <c r="J117" s="119"/>
      <c r="K117" s="119"/>
      <c r="L117" s="119"/>
    </row>
    <row r="118" spans="1:12" ht="14.25" customHeight="1">
      <c r="A118" s="458"/>
      <c r="B118" s="625"/>
      <c r="C118" s="625"/>
      <c r="D118" s="625"/>
      <c r="E118" s="496" t="s">
        <v>83</v>
      </c>
      <c r="F118" s="626"/>
      <c r="G118" s="448"/>
      <c r="H118" s="448">
        <f t="shared" si="11"/>
        <v>0</v>
      </c>
      <c r="I118" s="119"/>
      <c r="J118" s="119"/>
      <c r="K118" s="119"/>
      <c r="L118" s="119"/>
    </row>
    <row r="119" spans="1:12" ht="14.25" customHeight="1">
      <c r="A119" s="458"/>
      <c r="B119" s="625"/>
      <c r="C119" s="625"/>
      <c r="D119" s="625"/>
      <c r="E119" s="527" t="s">
        <v>84</v>
      </c>
      <c r="F119" s="626"/>
      <c r="G119" s="448"/>
      <c r="H119" s="448">
        <f t="shared" si="11"/>
        <v>0</v>
      </c>
      <c r="I119" s="119"/>
      <c r="J119" s="119"/>
      <c r="K119" s="119"/>
      <c r="L119" s="119"/>
    </row>
    <row r="120" spans="1:12" ht="14.25" customHeight="1">
      <c r="A120" s="458"/>
      <c r="B120" s="625"/>
      <c r="C120" s="625"/>
      <c r="D120" s="625"/>
      <c r="E120" s="526" t="s">
        <v>235</v>
      </c>
      <c r="F120" s="626"/>
      <c r="G120" s="448"/>
      <c r="H120" s="448">
        <f t="shared" si="11"/>
        <v>0</v>
      </c>
      <c r="I120" s="119"/>
      <c r="J120" s="119"/>
      <c r="K120" s="119"/>
      <c r="L120" s="119"/>
    </row>
    <row r="121" spans="1:12" ht="14.25" customHeight="1">
      <c r="A121" s="458"/>
      <c r="B121" s="625"/>
      <c r="C121" s="625"/>
      <c r="D121" s="625"/>
      <c r="E121" s="496" t="s">
        <v>83</v>
      </c>
      <c r="F121" s="626"/>
      <c r="G121" s="448"/>
      <c r="H121" s="448">
        <f t="shared" si="11"/>
        <v>0</v>
      </c>
      <c r="I121" s="119"/>
      <c r="J121" s="119"/>
      <c r="K121" s="119"/>
      <c r="L121" s="119"/>
    </row>
    <row r="122" spans="1:12" ht="14.25" customHeight="1">
      <c r="A122" s="458"/>
      <c r="B122" s="625"/>
      <c r="C122" s="625"/>
      <c r="D122" s="625"/>
      <c r="E122" s="527" t="s">
        <v>84</v>
      </c>
      <c r="F122" s="626"/>
      <c r="G122" s="448"/>
      <c r="H122" s="448">
        <f t="shared" si="11"/>
        <v>0</v>
      </c>
      <c r="I122" s="119"/>
      <c r="J122" s="119"/>
      <c r="K122" s="119"/>
      <c r="L122" s="119"/>
    </row>
    <row r="123" spans="1:12" s="28" customFormat="1" ht="15" customHeight="1">
      <c r="A123" s="826" t="s">
        <v>136</v>
      </c>
      <c r="B123" s="826"/>
      <c r="C123" s="826"/>
      <c r="D123" s="826"/>
      <c r="E123" s="826"/>
      <c r="F123" s="605">
        <f>F124+F125</f>
        <v>202567</v>
      </c>
      <c r="G123" s="605">
        <f>G124+G125</f>
        <v>0</v>
      </c>
      <c r="H123" s="621">
        <f>F123+G123</f>
        <v>202567</v>
      </c>
      <c r="I123" s="121"/>
      <c r="J123" s="121"/>
      <c r="K123" s="121"/>
      <c r="L123" s="121"/>
    </row>
    <row r="124" spans="1:12" s="28" customFormat="1" ht="15" customHeight="1">
      <c r="A124" s="460"/>
      <c r="B124" s="612"/>
      <c r="C124" s="612"/>
      <c r="D124" s="612"/>
      <c r="E124" s="607" t="s">
        <v>83</v>
      </c>
      <c r="F124" s="605">
        <f>F130+F133+F136</f>
        <v>202567</v>
      </c>
      <c r="G124" s="605">
        <f>G130+G133+G136</f>
        <v>0</v>
      </c>
      <c r="H124" s="621">
        <f t="shared" ref="H124:H125" si="12">F124+G124</f>
        <v>202567</v>
      </c>
      <c r="I124" s="121"/>
      <c r="J124" s="121"/>
      <c r="K124" s="121"/>
      <c r="L124" s="121"/>
    </row>
    <row r="125" spans="1:12" s="28" customFormat="1" ht="15" customHeight="1">
      <c r="A125" s="460"/>
      <c r="B125" s="612"/>
      <c r="C125" s="612"/>
      <c r="D125" s="612"/>
      <c r="E125" s="608" t="s">
        <v>84</v>
      </c>
      <c r="F125" s="605">
        <f>F131+F134+F137</f>
        <v>0</v>
      </c>
      <c r="G125" s="605">
        <f>G131+G134+G137</f>
        <v>0</v>
      </c>
      <c r="H125" s="621">
        <f t="shared" si="12"/>
        <v>0</v>
      </c>
      <c r="I125" s="121"/>
      <c r="J125" s="121"/>
      <c r="K125" s="121"/>
      <c r="L125" s="121"/>
    </row>
    <row r="126" spans="1:12" s="28" customFormat="1" ht="15" customHeight="1">
      <c r="A126" s="463"/>
      <c r="B126" s="622" t="s">
        <v>15</v>
      </c>
      <c r="C126" s="622" t="s">
        <v>165</v>
      </c>
      <c r="D126" s="622"/>
      <c r="E126" s="627" t="s">
        <v>264</v>
      </c>
      <c r="F126" s="616">
        <f>F127+F128</f>
        <v>202567</v>
      </c>
      <c r="G126" s="616">
        <f>G127+G128</f>
        <v>0</v>
      </c>
      <c r="H126" s="616">
        <f t="shared" si="8"/>
        <v>202567</v>
      </c>
      <c r="I126" s="121"/>
      <c r="J126" s="121"/>
      <c r="K126" s="121"/>
      <c r="L126" s="121"/>
    </row>
    <row r="127" spans="1:12" ht="15" customHeight="1">
      <c r="A127" s="463"/>
      <c r="B127" s="622"/>
      <c r="C127" s="622"/>
      <c r="D127" s="622"/>
      <c r="E127" s="617" t="s">
        <v>83</v>
      </c>
      <c r="F127" s="616">
        <f>F130+F133+F136</f>
        <v>202567</v>
      </c>
      <c r="G127" s="616">
        <f>G130+G133+G136</f>
        <v>0</v>
      </c>
      <c r="H127" s="616">
        <f t="shared" si="8"/>
        <v>202567</v>
      </c>
      <c r="I127" s="119"/>
      <c r="J127" s="119"/>
      <c r="K127" s="119"/>
      <c r="L127" s="119"/>
    </row>
    <row r="128" spans="1:12" ht="15" customHeight="1">
      <c r="A128" s="463"/>
      <c r="B128" s="622"/>
      <c r="C128" s="622"/>
      <c r="D128" s="622"/>
      <c r="E128" s="618" t="s">
        <v>84</v>
      </c>
      <c r="F128" s="616">
        <f>F131+F134+F137</f>
        <v>0</v>
      </c>
      <c r="G128" s="616">
        <f>G131+G134+G137</f>
        <v>0</v>
      </c>
      <c r="H128" s="616">
        <f t="shared" si="8"/>
        <v>0</v>
      </c>
      <c r="I128" s="119"/>
      <c r="J128" s="119"/>
      <c r="K128" s="119"/>
      <c r="L128" s="119"/>
    </row>
    <row r="129" spans="1:12" ht="15" customHeight="1">
      <c r="A129" s="458"/>
      <c r="B129" s="625"/>
      <c r="C129" s="625"/>
      <c r="D129" s="625"/>
      <c r="E129" s="526" t="s">
        <v>260</v>
      </c>
      <c r="F129" s="448">
        <f>F130+F131</f>
        <v>187373</v>
      </c>
      <c r="G129" s="448">
        <f>G130+G131</f>
        <v>0</v>
      </c>
      <c r="H129" s="448">
        <f t="shared" si="8"/>
        <v>187373</v>
      </c>
      <c r="I129" s="119"/>
      <c r="J129" s="119"/>
      <c r="K129" s="119"/>
      <c r="L129" s="119"/>
    </row>
    <row r="130" spans="1:12" ht="15" customHeight="1">
      <c r="A130" s="458"/>
      <c r="B130" s="625"/>
      <c r="C130" s="625"/>
      <c r="D130" s="625"/>
      <c r="E130" s="496" t="s">
        <v>83</v>
      </c>
      <c r="F130" s="448">
        <v>187373</v>
      </c>
      <c r="G130" s="448"/>
      <c r="H130" s="448">
        <f t="shared" si="8"/>
        <v>187373</v>
      </c>
      <c r="I130" s="119"/>
      <c r="J130" s="119"/>
      <c r="K130" s="119"/>
      <c r="L130" s="119"/>
    </row>
    <row r="131" spans="1:12" ht="15" customHeight="1">
      <c r="A131" s="458"/>
      <c r="B131" s="625"/>
      <c r="C131" s="625"/>
      <c r="D131" s="625"/>
      <c r="E131" s="527" t="s">
        <v>84</v>
      </c>
      <c r="F131" s="448"/>
      <c r="G131" s="448"/>
      <c r="H131" s="448">
        <f t="shared" si="8"/>
        <v>0</v>
      </c>
      <c r="I131" s="119"/>
      <c r="J131" s="119"/>
      <c r="K131" s="119"/>
      <c r="L131" s="119"/>
    </row>
    <row r="132" spans="1:12" ht="15" customHeight="1">
      <c r="A132" s="458"/>
      <c r="B132" s="625"/>
      <c r="C132" s="625"/>
      <c r="D132" s="625"/>
      <c r="E132" s="526" t="s">
        <v>234</v>
      </c>
      <c r="F132" s="448">
        <f>F133+F134</f>
        <v>738</v>
      </c>
      <c r="G132" s="448">
        <f>G133+G134</f>
        <v>0</v>
      </c>
      <c r="H132" s="448">
        <f t="shared" si="8"/>
        <v>738</v>
      </c>
      <c r="I132" s="119"/>
      <c r="J132" s="119"/>
      <c r="K132" s="119"/>
      <c r="L132" s="119"/>
    </row>
    <row r="133" spans="1:12" ht="15" customHeight="1">
      <c r="A133" s="458"/>
      <c r="B133" s="625"/>
      <c r="C133" s="625"/>
      <c r="D133" s="625"/>
      <c r="E133" s="496" t="s">
        <v>83</v>
      </c>
      <c r="F133" s="448">
        <v>738</v>
      </c>
      <c r="G133" s="448"/>
      <c r="H133" s="448">
        <f t="shared" si="8"/>
        <v>738</v>
      </c>
      <c r="I133" s="119"/>
      <c r="J133" s="119"/>
      <c r="K133" s="119"/>
      <c r="L133" s="119"/>
    </row>
    <row r="134" spans="1:12" ht="15" customHeight="1">
      <c r="A134" s="458"/>
      <c r="B134" s="625"/>
      <c r="C134" s="625"/>
      <c r="D134" s="625"/>
      <c r="E134" s="527" t="s">
        <v>84</v>
      </c>
      <c r="F134" s="448"/>
      <c r="G134" s="448"/>
      <c r="H134" s="448">
        <f t="shared" si="8"/>
        <v>0</v>
      </c>
      <c r="I134" s="119"/>
      <c r="J134" s="119"/>
      <c r="K134" s="119"/>
      <c r="L134" s="119"/>
    </row>
    <row r="135" spans="1:12" ht="15" customHeight="1">
      <c r="A135" s="458"/>
      <c r="B135" s="625"/>
      <c r="C135" s="625"/>
      <c r="D135" s="625"/>
      <c r="E135" s="526" t="s">
        <v>235</v>
      </c>
      <c r="F135" s="448">
        <f>F136+F137</f>
        <v>14456</v>
      </c>
      <c r="G135" s="448">
        <f>G136+G137</f>
        <v>0</v>
      </c>
      <c r="H135" s="448">
        <f t="shared" si="8"/>
        <v>14456</v>
      </c>
      <c r="I135" s="119"/>
      <c r="J135" s="119"/>
      <c r="K135" s="119"/>
      <c r="L135" s="119"/>
    </row>
    <row r="136" spans="1:12" ht="15" customHeight="1">
      <c r="A136" s="458"/>
      <c r="B136" s="625"/>
      <c r="C136" s="625"/>
      <c r="D136" s="625"/>
      <c r="E136" s="496" t="s">
        <v>83</v>
      </c>
      <c r="F136" s="448">
        <v>14456</v>
      </c>
      <c r="G136" s="448"/>
      <c r="H136" s="448">
        <f t="shared" si="8"/>
        <v>14456</v>
      </c>
      <c r="I136" s="119"/>
      <c r="J136" s="119"/>
      <c r="K136" s="119"/>
      <c r="L136" s="119"/>
    </row>
    <row r="137" spans="1:12" ht="15" customHeight="1">
      <c r="A137" s="458"/>
      <c r="B137" s="625"/>
      <c r="C137" s="625"/>
      <c r="D137" s="625"/>
      <c r="E137" s="527" t="s">
        <v>84</v>
      </c>
      <c r="F137" s="448"/>
      <c r="G137" s="448"/>
      <c r="H137" s="448">
        <f t="shared" si="8"/>
        <v>0</v>
      </c>
      <c r="I137" s="119"/>
      <c r="J137" s="119"/>
      <c r="K137" s="119"/>
      <c r="L137" s="119"/>
    </row>
    <row r="138" spans="1:12" s="11" customFormat="1" ht="16.5" customHeight="1">
      <c r="A138" s="464" t="s">
        <v>107</v>
      </c>
      <c r="B138" s="628"/>
      <c r="C138" s="629"/>
      <c r="D138" s="630"/>
      <c r="E138" s="631" t="s">
        <v>87</v>
      </c>
      <c r="F138" s="630">
        <f>F21+F108+F123</f>
        <v>12596567</v>
      </c>
      <c r="G138" s="630">
        <f>G21+G108+G123</f>
        <v>0</v>
      </c>
      <c r="H138" s="621">
        <f>F138+G138</f>
        <v>12596567</v>
      </c>
      <c r="I138" s="120"/>
      <c r="J138" s="120"/>
      <c r="K138" s="120"/>
      <c r="L138" s="120"/>
    </row>
    <row r="139" spans="1:12" s="11" customFormat="1" ht="16.5" customHeight="1">
      <c r="A139" s="464"/>
      <c r="B139" s="628"/>
      <c r="C139" s="629"/>
      <c r="D139" s="632"/>
      <c r="E139" s="607" t="s">
        <v>83</v>
      </c>
      <c r="F139" s="630">
        <f>F22+F109+F124</f>
        <v>10056067</v>
      </c>
      <c r="G139" s="630">
        <f t="shared" ref="G139" si="13">G22+G109+G124</f>
        <v>0</v>
      </c>
      <c r="H139" s="621">
        <f t="shared" ref="H139:H140" si="14">F139+G139</f>
        <v>10056067</v>
      </c>
      <c r="I139" s="120"/>
      <c r="J139" s="120"/>
      <c r="K139" s="120"/>
      <c r="L139" s="120"/>
    </row>
    <row r="140" spans="1:12" s="12" customFormat="1" ht="12" customHeight="1">
      <c r="A140" s="465"/>
      <c r="B140" s="633"/>
      <c r="C140" s="634"/>
      <c r="D140" s="633"/>
      <c r="E140" s="608" t="s">
        <v>84</v>
      </c>
      <c r="F140" s="630">
        <f>F23+F110+F125</f>
        <v>2540500</v>
      </c>
      <c r="G140" s="630">
        <f>G23+G110+G125</f>
        <v>0</v>
      </c>
      <c r="H140" s="621">
        <f t="shared" si="14"/>
        <v>2540500</v>
      </c>
      <c r="I140" s="122"/>
      <c r="J140" s="122"/>
      <c r="K140" s="122"/>
      <c r="L140" s="122"/>
    </row>
    <row r="141" spans="1:12" s="12" customFormat="1" ht="12" customHeight="1">
      <c r="A141" s="466"/>
      <c r="B141" s="635"/>
      <c r="C141" s="450"/>
      <c r="D141" s="635"/>
      <c r="E141" s="636" t="s">
        <v>295</v>
      </c>
      <c r="F141" s="637"/>
      <c r="G141" s="637"/>
      <c r="H141" s="448"/>
      <c r="I141" s="122"/>
      <c r="J141" s="122"/>
      <c r="K141" s="122"/>
      <c r="L141" s="122"/>
    </row>
    <row r="142" spans="1:12" s="12" customFormat="1" ht="14.25" customHeight="1">
      <c r="A142" s="831" t="s">
        <v>168</v>
      </c>
      <c r="B142" s="831"/>
      <c r="C142" s="831"/>
      <c r="D142" s="831"/>
      <c r="E142" s="831"/>
      <c r="F142" s="626">
        <f>F144+F175+F176+F177+F178+F179</f>
        <v>251457605.16</v>
      </c>
      <c r="G142" s="626"/>
      <c r="H142" s="626">
        <f>H144+H175+H176+H177+H178+H179</f>
        <v>251457605.16</v>
      </c>
      <c r="I142" s="122"/>
      <c r="J142" s="122"/>
      <c r="K142" s="122"/>
      <c r="L142" s="122"/>
    </row>
    <row r="143" spans="1:12" s="12" customFormat="1" ht="14.25" customHeight="1">
      <c r="A143" s="635"/>
      <c r="B143" s="635"/>
      <c r="C143" s="450"/>
      <c r="D143" s="635"/>
      <c r="E143" s="638"/>
      <c r="F143" s="639"/>
      <c r="G143" s="639"/>
      <c r="H143" s="639"/>
      <c r="I143" s="122"/>
      <c r="J143" s="122"/>
      <c r="K143" s="122"/>
      <c r="L143" s="122"/>
    </row>
    <row r="144" spans="1:12" ht="17.25" customHeight="1">
      <c r="A144" s="830" t="s">
        <v>174</v>
      </c>
      <c r="B144" s="830"/>
      <c r="C144" s="830"/>
      <c r="D144" s="830"/>
      <c r="E144" s="830"/>
      <c r="F144" s="626">
        <f>F160+F157+F145+F169+F172+F174</f>
        <v>205615115</v>
      </c>
      <c r="G144" s="626"/>
      <c r="H144" s="626">
        <f>H160+H157+H145+H170+H172+H174+H171</f>
        <v>205615115</v>
      </c>
      <c r="I144" s="119"/>
      <c r="J144" s="119"/>
      <c r="K144" s="119"/>
      <c r="L144" s="119"/>
    </row>
    <row r="145" spans="1:12" s="11" customFormat="1" ht="12.75" customHeight="1">
      <c r="A145" s="796"/>
      <c r="B145" s="451">
        <v>1</v>
      </c>
      <c r="C145" s="635" t="s">
        <v>108</v>
      </c>
      <c r="D145" s="610" t="s">
        <v>72</v>
      </c>
      <c r="E145" s="640" t="s">
        <v>93</v>
      </c>
      <c r="F145" s="626">
        <f>SUM(F146:F156)</f>
        <v>93461742</v>
      </c>
      <c r="G145" s="626"/>
      <c r="H145" s="626">
        <f t="shared" ref="H145:H172" si="15">G145+F145</f>
        <v>93461742</v>
      </c>
      <c r="I145" s="120"/>
      <c r="J145" s="123"/>
      <c r="K145" s="120"/>
      <c r="L145" s="120"/>
    </row>
    <row r="146" spans="1:12" s="28" customFormat="1" ht="12.75" customHeight="1">
      <c r="A146" s="796"/>
      <c r="B146" s="641"/>
      <c r="C146" s="642"/>
      <c r="D146" s="642"/>
      <c r="E146" s="643" t="s">
        <v>218</v>
      </c>
      <c r="F146" s="644">
        <v>28854000</v>
      </c>
      <c r="G146" s="644"/>
      <c r="H146" s="644">
        <f>F146</f>
        <v>28854000</v>
      </c>
      <c r="I146" s="121"/>
      <c r="J146" s="121"/>
      <c r="K146" s="121"/>
      <c r="L146" s="121"/>
    </row>
    <row r="147" spans="1:12" s="28" customFormat="1" ht="12.75" customHeight="1">
      <c r="A147" s="796"/>
      <c r="B147" s="641"/>
      <c r="C147" s="642"/>
      <c r="D147" s="642"/>
      <c r="E147" s="643" t="s">
        <v>219</v>
      </c>
      <c r="F147" s="644">
        <v>3851210</v>
      </c>
      <c r="G147" s="644"/>
      <c r="H147" s="644">
        <f t="shared" ref="H147:H156" si="16">F147</f>
        <v>3851210</v>
      </c>
      <c r="I147" s="121"/>
      <c r="J147" s="121"/>
      <c r="K147" s="121"/>
      <c r="L147" s="121"/>
    </row>
    <row r="148" spans="1:12" s="28" customFormat="1" ht="12.75" customHeight="1">
      <c r="A148" s="796"/>
      <c r="B148" s="641"/>
      <c r="C148" s="642"/>
      <c r="D148" s="642"/>
      <c r="E148" s="643" t="s">
        <v>220</v>
      </c>
      <c r="F148" s="644">
        <v>20288000</v>
      </c>
      <c r="G148" s="644"/>
      <c r="H148" s="644">
        <f t="shared" si="16"/>
        <v>20288000</v>
      </c>
      <c r="I148" s="121"/>
      <c r="J148" s="121"/>
      <c r="K148" s="121"/>
      <c r="L148" s="121"/>
    </row>
    <row r="149" spans="1:12" s="28" customFormat="1" ht="12.75" customHeight="1">
      <c r="A149" s="796"/>
      <c r="B149" s="641"/>
      <c r="C149" s="642"/>
      <c r="D149" s="642"/>
      <c r="E149" s="643" t="s">
        <v>221</v>
      </c>
      <c r="F149" s="644">
        <v>100000</v>
      </c>
      <c r="G149" s="644"/>
      <c r="H149" s="644">
        <f t="shared" si="16"/>
        <v>100000</v>
      </c>
      <c r="I149" s="121"/>
      <c r="J149" s="121"/>
      <c r="K149" s="121"/>
      <c r="L149" s="121"/>
    </row>
    <row r="150" spans="1:12" s="28" customFormat="1" ht="12.75" customHeight="1">
      <c r="A150" s="796"/>
      <c r="B150" s="641"/>
      <c r="C150" s="642"/>
      <c r="D150" s="642"/>
      <c r="E150" s="643" t="s">
        <v>222</v>
      </c>
      <c r="F150" s="644">
        <v>3325550</v>
      </c>
      <c r="G150" s="644"/>
      <c r="H150" s="644">
        <f t="shared" si="16"/>
        <v>3325550</v>
      </c>
      <c r="I150" s="121"/>
      <c r="J150" s="121"/>
      <c r="K150" s="121"/>
      <c r="L150" s="121"/>
    </row>
    <row r="151" spans="1:12" s="28" customFormat="1" ht="12.75" customHeight="1">
      <c r="A151" s="796"/>
      <c r="B151" s="641"/>
      <c r="C151" s="642"/>
      <c r="D151" s="642"/>
      <c r="E151" s="643" t="s">
        <v>223</v>
      </c>
      <c r="F151" s="644">
        <v>6000000</v>
      </c>
      <c r="G151" s="644"/>
      <c r="H151" s="644">
        <f t="shared" si="16"/>
        <v>6000000</v>
      </c>
      <c r="I151" s="121"/>
      <c r="J151" s="121"/>
      <c r="K151" s="121"/>
      <c r="L151" s="121"/>
    </row>
    <row r="152" spans="1:12" s="28" customFormat="1" ht="12.75" customHeight="1">
      <c r="A152" s="796"/>
      <c r="B152" s="641"/>
      <c r="C152" s="642"/>
      <c r="D152" s="642"/>
      <c r="E152" s="643" t="s">
        <v>224</v>
      </c>
      <c r="F152" s="644">
        <v>1285200</v>
      </c>
      <c r="G152" s="644"/>
      <c r="H152" s="644">
        <f t="shared" si="16"/>
        <v>1285200</v>
      </c>
      <c r="I152" s="121"/>
      <c r="J152" s="121"/>
      <c r="K152" s="121"/>
      <c r="L152" s="121"/>
    </row>
    <row r="153" spans="1:12" s="28" customFormat="1" ht="12.75" customHeight="1">
      <c r="A153" s="796"/>
      <c r="B153" s="641"/>
      <c r="C153" s="642"/>
      <c r="D153" s="642"/>
      <c r="E153" s="643" t="s">
        <v>225</v>
      </c>
      <c r="F153" s="644">
        <v>28666782</v>
      </c>
      <c r="G153" s="644"/>
      <c r="H153" s="644">
        <f t="shared" si="16"/>
        <v>28666782</v>
      </c>
      <c r="I153" s="121"/>
      <c r="J153" s="121"/>
      <c r="K153" s="121"/>
      <c r="L153" s="121"/>
    </row>
    <row r="154" spans="1:12" s="28" customFormat="1" ht="12.75" customHeight="1">
      <c r="A154" s="796"/>
      <c r="B154" s="641"/>
      <c r="C154" s="642"/>
      <c r="D154" s="642"/>
      <c r="E154" s="643" t="s">
        <v>308</v>
      </c>
      <c r="F154" s="644">
        <v>50000</v>
      </c>
      <c r="G154" s="644"/>
      <c r="H154" s="644">
        <f t="shared" si="16"/>
        <v>50000</v>
      </c>
      <c r="I154" s="121"/>
      <c r="J154" s="121"/>
      <c r="K154" s="121"/>
      <c r="L154" s="121"/>
    </row>
    <row r="155" spans="1:12" s="28" customFormat="1" ht="12.75" customHeight="1">
      <c r="A155" s="796"/>
      <c r="B155" s="641"/>
      <c r="C155" s="642"/>
      <c r="D155" s="642"/>
      <c r="E155" s="643" t="s">
        <v>306</v>
      </c>
      <c r="F155" s="644"/>
      <c r="G155" s="644"/>
      <c r="H155" s="644">
        <f t="shared" si="16"/>
        <v>0</v>
      </c>
      <c r="I155" s="121"/>
      <c r="J155" s="121"/>
      <c r="K155" s="121"/>
      <c r="L155" s="121"/>
    </row>
    <row r="156" spans="1:12" s="28" customFormat="1" ht="12.75" customHeight="1">
      <c r="A156" s="796"/>
      <c r="B156" s="641"/>
      <c r="C156" s="642"/>
      <c r="D156" s="642"/>
      <c r="E156" s="643" t="s">
        <v>307</v>
      </c>
      <c r="F156" s="644">
        <v>1041000</v>
      </c>
      <c r="G156" s="644"/>
      <c r="H156" s="644">
        <f t="shared" si="16"/>
        <v>1041000</v>
      </c>
      <c r="I156" s="121"/>
      <c r="J156" s="121"/>
      <c r="K156" s="121"/>
      <c r="L156" s="121"/>
    </row>
    <row r="157" spans="1:12" s="11" customFormat="1" ht="12.75" customHeight="1">
      <c r="A157" s="796"/>
      <c r="B157" s="451">
        <v>2</v>
      </c>
      <c r="C157" s="635" t="s">
        <v>109</v>
      </c>
      <c r="D157" s="610" t="s">
        <v>72</v>
      </c>
      <c r="E157" s="640" t="s">
        <v>110</v>
      </c>
      <c r="F157" s="626">
        <f>F158+F159</f>
        <v>49662766</v>
      </c>
      <c r="G157" s="626"/>
      <c r="H157" s="626">
        <f t="shared" si="15"/>
        <v>49662766</v>
      </c>
      <c r="I157" s="120"/>
      <c r="J157" s="120"/>
      <c r="K157" s="120"/>
      <c r="L157" s="120"/>
    </row>
    <row r="158" spans="1:12" s="28" customFormat="1" ht="13.5" customHeight="1">
      <c r="A158" s="796"/>
      <c r="B158" s="641"/>
      <c r="C158" s="642"/>
      <c r="D158" s="642"/>
      <c r="E158" s="643" t="s">
        <v>226</v>
      </c>
      <c r="F158" s="644">
        <f>20622000+5880000+12078600+3675000+735000</f>
        <v>42990600</v>
      </c>
      <c r="G158" s="644"/>
      <c r="H158" s="644">
        <f>F158</f>
        <v>42990600</v>
      </c>
      <c r="I158" s="121"/>
      <c r="J158" s="121"/>
      <c r="K158" s="121"/>
      <c r="L158" s="121"/>
    </row>
    <row r="159" spans="1:12" s="28" customFormat="1" ht="13.5" customHeight="1">
      <c r="A159" s="796"/>
      <c r="B159" s="641"/>
      <c r="C159" s="642"/>
      <c r="D159" s="642"/>
      <c r="E159" s="643" t="s">
        <v>227</v>
      </c>
      <c r="F159" s="644">
        <f>4030533+2342067+299566</f>
        <v>6672166</v>
      </c>
      <c r="G159" s="644"/>
      <c r="H159" s="644">
        <f>F159</f>
        <v>6672166</v>
      </c>
      <c r="I159" s="121"/>
      <c r="J159" s="121"/>
      <c r="K159" s="121"/>
      <c r="L159" s="121"/>
    </row>
    <row r="160" spans="1:12" s="11" customFormat="1" ht="12.75" customHeight="1">
      <c r="A160" s="796"/>
      <c r="B160" s="451">
        <v>3</v>
      </c>
      <c r="C160" s="635" t="s">
        <v>111</v>
      </c>
      <c r="D160" s="610"/>
      <c r="E160" s="640" t="s">
        <v>163</v>
      </c>
      <c r="F160" s="626">
        <f>SUM(F161:F168)</f>
        <v>58780408</v>
      </c>
      <c r="G160" s="626"/>
      <c r="H160" s="626">
        <f>G160+F160</f>
        <v>58780408</v>
      </c>
      <c r="I160" s="121"/>
      <c r="J160" s="120"/>
      <c r="K160" s="120"/>
      <c r="L160" s="120"/>
    </row>
    <row r="161" spans="1:12" s="28" customFormat="1" ht="12.75" customHeight="1">
      <c r="A161" s="796"/>
      <c r="B161" s="625"/>
      <c r="C161" s="450"/>
      <c r="D161" s="642" t="s">
        <v>72</v>
      </c>
      <c r="E161" s="643" t="s">
        <v>236</v>
      </c>
      <c r="F161" s="644">
        <v>3400000</v>
      </c>
      <c r="G161" s="644"/>
      <c r="H161" s="644">
        <f t="shared" si="15"/>
        <v>3400000</v>
      </c>
      <c r="I161" s="124"/>
      <c r="J161" s="121"/>
      <c r="K161" s="121"/>
      <c r="L161" s="121"/>
    </row>
    <row r="162" spans="1:12" s="28" customFormat="1" ht="12.75" customHeight="1">
      <c r="A162" s="796"/>
      <c r="B162" s="625"/>
      <c r="C162" s="450"/>
      <c r="D162" s="642" t="s">
        <v>72</v>
      </c>
      <c r="E162" s="643" t="s">
        <v>228</v>
      </c>
      <c r="F162" s="644">
        <v>2380480</v>
      </c>
      <c r="G162" s="644"/>
      <c r="H162" s="644">
        <f t="shared" si="15"/>
        <v>2380480</v>
      </c>
      <c r="I162" s="121"/>
      <c r="J162" s="121"/>
      <c r="K162" s="121"/>
      <c r="L162" s="121"/>
    </row>
    <row r="163" spans="1:12" s="28" customFormat="1" ht="12.75" customHeight="1">
      <c r="A163" s="796"/>
      <c r="B163" s="625"/>
      <c r="C163" s="450"/>
      <c r="D163" s="642" t="s">
        <v>72</v>
      </c>
      <c r="E163" s="643" t="s">
        <v>229</v>
      </c>
      <c r="F163" s="644">
        <f>25000+1650000</f>
        <v>1675000</v>
      </c>
      <c r="G163" s="644"/>
      <c r="H163" s="644">
        <f t="shared" si="15"/>
        <v>1675000</v>
      </c>
      <c r="I163" s="121"/>
      <c r="J163" s="121"/>
      <c r="K163" s="121"/>
      <c r="L163" s="121"/>
    </row>
    <row r="164" spans="1:12" s="28" customFormat="1" ht="12.75" customHeight="1">
      <c r="A164" s="796"/>
      <c r="B164" s="625"/>
      <c r="C164" s="450"/>
      <c r="D164" s="642" t="s">
        <v>73</v>
      </c>
      <c r="E164" s="645" t="s">
        <v>230</v>
      </c>
      <c r="F164" s="644">
        <v>6200000</v>
      </c>
      <c r="G164" s="644"/>
      <c r="H164" s="644">
        <f t="shared" si="15"/>
        <v>6200000</v>
      </c>
      <c r="I164" s="121"/>
      <c r="J164" s="121"/>
      <c r="K164" s="121"/>
      <c r="L164" s="121"/>
    </row>
    <row r="165" spans="1:12" s="28" customFormat="1" ht="12.75" customHeight="1">
      <c r="A165" s="796"/>
      <c r="B165" s="625"/>
      <c r="C165" s="450"/>
      <c r="D165" s="642" t="s">
        <v>73</v>
      </c>
      <c r="E165" s="643" t="s">
        <v>231</v>
      </c>
      <c r="F165" s="644">
        <f>2180000-436000</f>
        <v>1744000</v>
      </c>
      <c r="G165" s="644"/>
      <c r="H165" s="644">
        <f t="shared" si="15"/>
        <v>1744000</v>
      </c>
      <c r="I165" s="121"/>
      <c r="J165" s="121"/>
      <c r="K165" s="121"/>
      <c r="L165" s="121"/>
    </row>
    <row r="166" spans="1:12" s="28" customFormat="1" ht="14.25" customHeight="1">
      <c r="A166" s="796"/>
      <c r="B166" s="625"/>
      <c r="C166" s="450"/>
      <c r="D166" s="642" t="s">
        <v>72</v>
      </c>
      <c r="E166" s="643" t="s">
        <v>237</v>
      </c>
      <c r="F166" s="644">
        <f>11115000+15232588+36480-342000-1140</f>
        <v>26040928</v>
      </c>
      <c r="G166" s="644"/>
      <c r="H166" s="644">
        <f t="shared" si="15"/>
        <v>26040928</v>
      </c>
      <c r="I166" s="121"/>
      <c r="J166" s="121"/>
      <c r="K166" s="121"/>
      <c r="L166" s="121"/>
    </row>
    <row r="167" spans="1:12" s="28" customFormat="1" ht="14.25" customHeight="1">
      <c r="A167" s="796"/>
      <c r="B167" s="625"/>
      <c r="C167" s="450"/>
      <c r="D167" s="642" t="s">
        <v>72</v>
      </c>
      <c r="E167" s="643" t="s">
        <v>192</v>
      </c>
      <c r="F167" s="644">
        <v>17340000</v>
      </c>
      <c r="G167" s="644"/>
      <c r="H167" s="644">
        <f>F167</f>
        <v>17340000</v>
      </c>
      <c r="I167" s="121"/>
      <c r="J167" s="121"/>
      <c r="K167" s="121"/>
      <c r="L167" s="121"/>
    </row>
    <row r="168" spans="1:12" s="28" customFormat="1" ht="14.25" customHeight="1">
      <c r="A168" s="796"/>
      <c r="B168" s="625"/>
      <c r="C168" s="450"/>
      <c r="D168" s="642" t="s">
        <v>72</v>
      </c>
      <c r="E168" s="643" t="s">
        <v>249</v>
      </c>
      <c r="F168" s="644"/>
      <c r="G168" s="644"/>
      <c r="H168" s="644">
        <f>F168</f>
        <v>0</v>
      </c>
      <c r="I168" s="121"/>
      <c r="J168" s="121"/>
      <c r="K168" s="121"/>
      <c r="L168" s="121"/>
    </row>
    <row r="169" spans="1:12" s="28" customFormat="1" ht="14.25" customHeight="1">
      <c r="A169" s="796"/>
      <c r="B169" s="625">
        <v>4</v>
      </c>
      <c r="C169" s="450" t="s">
        <v>112</v>
      </c>
      <c r="D169" s="642"/>
      <c r="E169" s="640" t="s">
        <v>309</v>
      </c>
      <c r="F169" s="626">
        <f>F170+F171</f>
        <v>2603920</v>
      </c>
      <c r="G169" s="626">
        <f>G170+G171</f>
        <v>0</v>
      </c>
      <c r="H169" s="626">
        <f>F169</f>
        <v>2603920</v>
      </c>
      <c r="I169" s="121"/>
      <c r="J169" s="121"/>
      <c r="K169" s="121"/>
      <c r="L169" s="121"/>
    </row>
    <row r="170" spans="1:12" s="28" customFormat="1" ht="12.75" customHeight="1">
      <c r="A170" s="796"/>
      <c r="B170" s="625"/>
      <c r="C170" s="646"/>
      <c r="D170" s="642" t="s">
        <v>72</v>
      </c>
      <c r="E170" s="647" t="s">
        <v>310</v>
      </c>
      <c r="F170" s="644">
        <v>2603920</v>
      </c>
      <c r="G170" s="644"/>
      <c r="H170" s="644">
        <f t="shared" si="15"/>
        <v>2603920</v>
      </c>
      <c r="I170" s="121"/>
      <c r="J170" s="121"/>
      <c r="K170" s="121"/>
      <c r="L170" s="121"/>
    </row>
    <row r="171" spans="1:12" s="28" customFormat="1" ht="12.75" customHeight="1">
      <c r="A171" s="796"/>
      <c r="B171" s="625"/>
      <c r="C171" s="450"/>
      <c r="D171" s="642" t="s">
        <v>72</v>
      </c>
      <c r="E171" s="428" t="s">
        <v>298</v>
      </c>
      <c r="F171" s="644"/>
      <c r="G171" s="644"/>
      <c r="H171" s="644">
        <f t="shared" si="15"/>
        <v>0</v>
      </c>
      <c r="I171" s="121"/>
      <c r="J171" s="121"/>
      <c r="K171" s="121"/>
      <c r="L171" s="121"/>
    </row>
    <row r="172" spans="1:12" s="28" customFormat="1" ht="12.75" customHeight="1">
      <c r="A172" s="796"/>
      <c r="B172" s="625">
        <v>5</v>
      </c>
      <c r="C172" s="450" t="s">
        <v>113</v>
      </c>
      <c r="D172" s="642" t="s">
        <v>72</v>
      </c>
      <c r="E172" s="648" t="s">
        <v>251</v>
      </c>
      <c r="F172" s="448">
        <f>F173</f>
        <v>622300</v>
      </c>
      <c r="G172" s="448"/>
      <c r="H172" s="448">
        <f t="shared" si="15"/>
        <v>622300</v>
      </c>
      <c r="I172" s="121"/>
      <c r="J172" s="121"/>
      <c r="K172" s="121"/>
      <c r="L172" s="121"/>
    </row>
    <row r="173" spans="1:12" s="28" customFormat="1" ht="12.75" customHeight="1">
      <c r="A173" s="796"/>
      <c r="B173" s="625"/>
      <c r="C173" s="450"/>
      <c r="D173" s="642"/>
      <c r="E173" s="647" t="s">
        <v>257</v>
      </c>
      <c r="F173" s="448">
        <v>622300</v>
      </c>
      <c r="G173" s="448"/>
      <c r="H173" s="448">
        <f>F173</f>
        <v>622300</v>
      </c>
      <c r="I173" s="282"/>
      <c r="J173" s="121"/>
      <c r="K173" s="121"/>
      <c r="L173" s="121"/>
    </row>
    <row r="174" spans="1:12" ht="12.75" customHeight="1">
      <c r="A174" s="451" t="s">
        <v>59</v>
      </c>
      <c r="B174" s="625">
        <v>6</v>
      </c>
      <c r="C174" s="450" t="s">
        <v>114</v>
      </c>
      <c r="D174" s="450" t="s">
        <v>72</v>
      </c>
      <c r="E174" s="648" t="s">
        <v>115</v>
      </c>
      <c r="F174" s="448">
        <v>483979</v>
      </c>
      <c r="G174" s="448"/>
      <c r="H174" s="448">
        <f>F174</f>
        <v>483979</v>
      </c>
      <c r="I174" s="125"/>
      <c r="J174" s="119"/>
      <c r="K174" s="119"/>
      <c r="L174" s="119"/>
    </row>
    <row r="175" spans="1:12" ht="15.75" customHeight="1">
      <c r="A175" s="827" t="s">
        <v>116</v>
      </c>
      <c r="B175" s="827"/>
      <c r="C175" s="827"/>
      <c r="D175" s="827"/>
      <c r="E175" s="827"/>
      <c r="F175" s="626">
        <v>0</v>
      </c>
      <c r="G175" s="626"/>
      <c r="H175" s="626">
        <f>F175</f>
        <v>0</v>
      </c>
      <c r="I175" s="125"/>
      <c r="J175" s="119"/>
      <c r="K175" s="119"/>
      <c r="L175" s="119"/>
    </row>
    <row r="176" spans="1:12" ht="15.75" customHeight="1">
      <c r="A176" s="827" t="s">
        <v>117</v>
      </c>
      <c r="B176" s="827"/>
      <c r="C176" s="827"/>
      <c r="D176" s="827"/>
      <c r="E176" s="827"/>
      <c r="F176" s="626">
        <v>0</v>
      </c>
      <c r="G176" s="626"/>
      <c r="H176" s="626">
        <v>0</v>
      </c>
      <c r="I176" s="119"/>
      <c r="J176" s="119"/>
      <c r="K176" s="119"/>
      <c r="L176" s="119"/>
    </row>
    <row r="177" spans="1:12" s="119" customFormat="1" ht="17.25" customHeight="1">
      <c r="A177" s="827" t="s">
        <v>118</v>
      </c>
      <c r="B177" s="827"/>
      <c r="C177" s="827"/>
      <c r="D177" s="827"/>
      <c r="E177" s="827"/>
      <c r="F177" s="626">
        <f>1856-1856</f>
        <v>0</v>
      </c>
      <c r="G177" s="626"/>
      <c r="H177" s="626">
        <f>F177</f>
        <v>0</v>
      </c>
    </row>
    <row r="178" spans="1:12" ht="17.25" customHeight="1">
      <c r="A178" s="827" t="s">
        <v>119</v>
      </c>
      <c r="B178" s="827"/>
      <c r="C178" s="827"/>
      <c r="D178" s="827"/>
      <c r="E178" s="827"/>
      <c r="F178" s="626">
        <v>0</v>
      </c>
      <c r="G178" s="626"/>
      <c r="H178" s="626">
        <v>0</v>
      </c>
      <c r="I178" s="119"/>
      <c r="J178" s="119"/>
      <c r="K178" s="119"/>
      <c r="L178" s="119"/>
    </row>
    <row r="179" spans="1:12" ht="15" customHeight="1">
      <c r="A179" s="649" t="s">
        <v>120</v>
      </c>
      <c r="B179" s="649"/>
      <c r="C179" s="649"/>
      <c r="D179" s="649"/>
      <c r="E179" s="649"/>
      <c r="F179" s="626">
        <f>SUM(F180:F186)</f>
        <v>45842490.159999996</v>
      </c>
      <c r="G179" s="626"/>
      <c r="H179" s="626">
        <f>F179+G179</f>
        <v>45842490.159999996</v>
      </c>
      <c r="I179" s="119"/>
      <c r="J179" s="119"/>
      <c r="K179" s="119"/>
      <c r="L179" s="119"/>
    </row>
    <row r="180" spans="1:12" ht="14.25" customHeight="1">
      <c r="A180" s="451"/>
      <c r="B180" s="450">
        <v>2</v>
      </c>
      <c r="C180" s="447" t="s">
        <v>183</v>
      </c>
      <c r="D180" s="447" t="s">
        <v>72</v>
      </c>
      <c r="E180" s="609" t="s">
        <v>121</v>
      </c>
      <c r="F180" s="448">
        <v>1819000</v>
      </c>
      <c r="G180" s="448"/>
      <c r="H180" s="448">
        <f t="shared" ref="H180:H181" si="17">F180+G180</f>
        <v>1819000</v>
      </c>
      <c r="I180" s="119"/>
      <c r="J180" s="119"/>
      <c r="K180" s="119"/>
      <c r="L180" s="119"/>
    </row>
    <row r="181" spans="1:12" ht="14.25" customHeight="1">
      <c r="A181" s="451"/>
      <c r="B181" s="450">
        <v>3</v>
      </c>
      <c r="C181" s="447" t="s">
        <v>183</v>
      </c>
      <c r="D181" s="447" t="s">
        <v>72</v>
      </c>
      <c r="E181" s="609" t="s">
        <v>65</v>
      </c>
      <c r="F181" s="448">
        <f>'5 kiadások'!E77+'5 kiadások'!F77+'5 kiadások'!G77-F207*1.27</f>
        <v>35204694.159999996</v>
      </c>
      <c r="G181" s="448"/>
      <c r="H181" s="448">
        <f t="shared" si="17"/>
        <v>35204694.159999996</v>
      </c>
      <c r="I181" s="119"/>
      <c r="J181" s="119"/>
      <c r="K181" s="119"/>
      <c r="L181" s="119"/>
    </row>
    <row r="182" spans="1:12" ht="14.25" customHeight="1">
      <c r="A182" s="451"/>
      <c r="B182" s="450">
        <v>4</v>
      </c>
      <c r="C182" s="447" t="s">
        <v>183</v>
      </c>
      <c r="D182" s="447" t="s">
        <v>72</v>
      </c>
      <c r="E182" s="609" t="s">
        <v>232</v>
      </c>
      <c r="F182" s="448">
        <v>4400000</v>
      </c>
      <c r="G182" s="448"/>
      <c r="H182" s="448">
        <f>F182</f>
        <v>4400000</v>
      </c>
      <c r="I182" s="119"/>
      <c r="J182" s="119"/>
      <c r="K182" s="119"/>
      <c r="L182" s="119"/>
    </row>
    <row r="183" spans="1:12" ht="14.25" customHeight="1">
      <c r="A183" s="451"/>
      <c r="B183" s="450">
        <v>5</v>
      </c>
      <c r="C183" s="447" t="s">
        <v>183</v>
      </c>
      <c r="D183" s="447" t="s">
        <v>72</v>
      </c>
      <c r="E183" s="650" t="s">
        <v>340</v>
      </c>
      <c r="F183" s="448">
        <f>500000+1298339</f>
        <v>1798339</v>
      </c>
      <c r="G183" s="448"/>
      <c r="H183" s="448">
        <f>F183</f>
        <v>1798339</v>
      </c>
      <c r="I183" s="119"/>
      <c r="J183" s="119"/>
      <c r="K183" s="119"/>
      <c r="L183" s="119"/>
    </row>
    <row r="184" spans="1:12" ht="12" customHeight="1">
      <c r="A184" s="451"/>
      <c r="B184" s="450">
        <v>6</v>
      </c>
      <c r="C184" s="447" t="s">
        <v>183</v>
      </c>
      <c r="D184" s="447" t="s">
        <v>73</v>
      </c>
      <c r="E184" s="449" t="s">
        <v>253</v>
      </c>
      <c r="F184" s="448">
        <v>618415</v>
      </c>
      <c r="G184" s="448"/>
      <c r="H184" s="448">
        <f>F184</f>
        <v>618415</v>
      </c>
      <c r="I184" s="119"/>
      <c r="J184" s="119"/>
      <c r="K184" s="119"/>
      <c r="L184" s="119"/>
    </row>
    <row r="185" spans="1:12" ht="12" customHeight="1">
      <c r="A185" s="451"/>
      <c r="B185" s="450">
        <v>7</v>
      </c>
      <c r="C185" s="447" t="s">
        <v>183</v>
      </c>
      <c r="D185" s="447" t="s">
        <v>73</v>
      </c>
      <c r="E185" s="449" t="s">
        <v>348</v>
      </c>
      <c r="F185" s="448">
        <f>6*90000+362042</f>
        <v>902042</v>
      </c>
      <c r="G185" s="448"/>
      <c r="H185" s="448">
        <f>F185</f>
        <v>902042</v>
      </c>
      <c r="I185" s="119"/>
      <c r="J185" s="119"/>
      <c r="K185" s="119"/>
      <c r="L185" s="119"/>
    </row>
    <row r="186" spans="1:12" ht="12" customHeight="1">
      <c r="A186" s="651"/>
      <c r="B186" s="651">
        <v>8</v>
      </c>
      <c r="C186" s="651" t="s">
        <v>183</v>
      </c>
      <c r="D186" s="651" t="s">
        <v>72</v>
      </c>
      <c r="E186" s="652" t="s">
        <v>351</v>
      </c>
      <c r="F186" s="653">
        <v>1100000</v>
      </c>
      <c r="G186" s="653"/>
      <c r="H186" s="654">
        <f>F186+G186</f>
        <v>1100000</v>
      </c>
    </row>
    <row r="187" spans="1:12" ht="16.5" customHeight="1">
      <c r="A187" s="831" t="s">
        <v>175</v>
      </c>
      <c r="B187" s="831"/>
      <c r="C187" s="831"/>
      <c r="D187" s="831"/>
      <c r="E187" s="831"/>
      <c r="F187" s="626">
        <f>F188+F189</f>
        <v>0</v>
      </c>
      <c r="G187" s="626">
        <f>G188+G189</f>
        <v>215510318</v>
      </c>
      <c r="H187" s="626">
        <f>G187</f>
        <v>215510318</v>
      </c>
      <c r="I187" s="119"/>
      <c r="J187" s="119"/>
      <c r="K187" s="119"/>
      <c r="L187" s="119"/>
    </row>
    <row r="188" spans="1:12" ht="16.5" customHeight="1">
      <c r="A188" s="830" t="s">
        <v>305</v>
      </c>
      <c r="B188" s="830"/>
      <c r="C188" s="830"/>
      <c r="D188" s="830"/>
      <c r="E188" s="830"/>
      <c r="F188" s="626"/>
      <c r="G188" s="626"/>
      <c r="H188" s="626"/>
      <c r="I188" s="119"/>
      <c r="J188" s="119"/>
      <c r="K188" s="119"/>
      <c r="L188" s="119"/>
    </row>
    <row r="189" spans="1:12" ht="16.5" customHeight="1">
      <c r="A189" s="797"/>
      <c r="B189" s="830" t="s">
        <v>304</v>
      </c>
      <c r="C189" s="830"/>
      <c r="D189" s="830"/>
      <c r="E189" s="830"/>
      <c r="F189" s="626">
        <f>F190+F192</f>
        <v>0</v>
      </c>
      <c r="G189" s="626">
        <f>G190+G192+G191</f>
        <v>215510318</v>
      </c>
      <c r="H189" s="626">
        <f>F189+G189</f>
        <v>215510318</v>
      </c>
      <c r="I189" s="119"/>
      <c r="J189" s="119"/>
      <c r="K189" s="119"/>
      <c r="L189" s="119"/>
    </row>
    <row r="190" spans="1:12" ht="16.5" customHeight="1">
      <c r="A190" s="797"/>
      <c r="B190" s="639" t="s">
        <v>15</v>
      </c>
      <c r="C190" s="526" t="s">
        <v>184</v>
      </c>
      <c r="D190" s="619" t="s">
        <v>73</v>
      </c>
      <c r="E190" s="526" t="s">
        <v>316</v>
      </c>
      <c r="F190" s="448"/>
      <c r="G190" s="448">
        <v>75000000</v>
      </c>
      <c r="H190" s="448">
        <f>F190+G190</f>
        <v>75000000</v>
      </c>
      <c r="I190" s="119"/>
      <c r="J190" s="119"/>
      <c r="K190" s="119"/>
      <c r="L190" s="119"/>
    </row>
    <row r="191" spans="1:12" ht="16.5" customHeight="1">
      <c r="A191" s="797"/>
      <c r="B191" s="639">
        <v>2</v>
      </c>
      <c r="C191" s="526"/>
      <c r="D191" s="526"/>
      <c r="E191" s="526" t="s">
        <v>279</v>
      </c>
      <c r="F191" s="448"/>
      <c r="G191" s="448">
        <v>139204250</v>
      </c>
      <c r="H191" s="448">
        <f>G191+F191</f>
        <v>139204250</v>
      </c>
      <c r="I191" s="119"/>
      <c r="J191" s="119"/>
      <c r="K191" s="119"/>
      <c r="L191" s="119"/>
    </row>
    <row r="192" spans="1:12" ht="17.25" customHeight="1">
      <c r="A192" s="797"/>
      <c r="B192" s="619">
        <v>3</v>
      </c>
      <c r="C192" s="619" t="s">
        <v>184</v>
      </c>
      <c r="D192" s="619" t="s">
        <v>72</v>
      </c>
      <c r="E192" s="650" t="s">
        <v>65</v>
      </c>
      <c r="F192" s="626"/>
      <c r="G192" s="448">
        <v>1306068</v>
      </c>
      <c r="H192" s="448">
        <f>F192+G192</f>
        <v>1306068</v>
      </c>
      <c r="I192" s="119"/>
      <c r="J192" s="119"/>
      <c r="K192" s="119"/>
      <c r="L192" s="119"/>
    </row>
    <row r="193" spans="1:12" ht="17.25" customHeight="1">
      <c r="A193" s="797"/>
      <c r="B193" s="619"/>
      <c r="C193" s="619"/>
      <c r="D193" s="619"/>
      <c r="E193" s="650"/>
      <c r="F193" s="626"/>
      <c r="G193" s="448"/>
      <c r="H193" s="448"/>
      <c r="I193" s="119"/>
      <c r="J193" s="119"/>
      <c r="K193" s="119"/>
      <c r="L193" s="119"/>
    </row>
    <row r="194" spans="1:12" ht="15" customHeight="1">
      <c r="A194" s="831" t="s">
        <v>164</v>
      </c>
      <c r="B194" s="831"/>
      <c r="C194" s="831"/>
      <c r="D194" s="831"/>
      <c r="E194" s="831"/>
      <c r="F194" s="626">
        <f>F203+F200+F198+F197+F196+F195</f>
        <v>23541689</v>
      </c>
      <c r="G194" s="626">
        <f>G200</f>
        <v>7258311</v>
      </c>
      <c r="H194" s="626">
        <f>H195+H196+H197+H198+H200+H203</f>
        <v>30800000</v>
      </c>
      <c r="I194" s="119"/>
      <c r="J194" s="119"/>
      <c r="K194" s="119"/>
      <c r="L194" s="119"/>
    </row>
    <row r="195" spans="1:12" ht="14.25" customHeight="1">
      <c r="A195" s="827" t="s">
        <v>122</v>
      </c>
      <c r="B195" s="827"/>
      <c r="C195" s="827"/>
      <c r="D195" s="827"/>
      <c r="E195" s="827"/>
      <c r="F195" s="448">
        <v>0</v>
      </c>
      <c r="G195" s="448"/>
      <c r="H195" s="448">
        <v>0</v>
      </c>
      <c r="I195" s="119"/>
      <c r="J195" s="119"/>
      <c r="K195" s="119"/>
      <c r="L195" s="119"/>
    </row>
    <row r="196" spans="1:12" ht="14.25" customHeight="1">
      <c r="A196" s="827" t="s">
        <v>123</v>
      </c>
      <c r="B196" s="827"/>
      <c r="C196" s="827"/>
      <c r="D196" s="827"/>
      <c r="E196" s="827"/>
      <c r="F196" s="448">
        <v>0</v>
      </c>
      <c r="G196" s="448"/>
      <c r="H196" s="448">
        <v>0</v>
      </c>
      <c r="I196" s="119"/>
      <c r="J196" s="119"/>
      <c r="K196" s="119"/>
      <c r="L196" s="119"/>
    </row>
    <row r="197" spans="1:12" ht="14.25" customHeight="1">
      <c r="A197" s="827" t="s">
        <v>166</v>
      </c>
      <c r="B197" s="827"/>
      <c r="C197" s="827"/>
      <c r="D197" s="827"/>
      <c r="E197" s="827"/>
      <c r="F197" s="448">
        <v>0</v>
      </c>
      <c r="G197" s="448"/>
      <c r="H197" s="448">
        <v>0</v>
      </c>
      <c r="I197" s="119"/>
      <c r="J197" s="119"/>
      <c r="K197" s="119"/>
      <c r="L197" s="119"/>
    </row>
    <row r="198" spans="1:12" ht="14.25" customHeight="1">
      <c r="A198" s="827" t="s">
        <v>176</v>
      </c>
      <c r="B198" s="827"/>
      <c r="C198" s="827"/>
      <c r="D198" s="827"/>
      <c r="E198" s="827"/>
      <c r="F198" s="626">
        <f>F199</f>
        <v>5800000</v>
      </c>
      <c r="G198" s="626"/>
      <c r="H198" s="626">
        <f>H199</f>
        <v>5800000</v>
      </c>
      <c r="I198" s="125"/>
      <c r="J198" s="119"/>
      <c r="K198" s="119"/>
      <c r="L198" s="119"/>
    </row>
    <row r="199" spans="1:12" ht="14.25" customHeight="1">
      <c r="A199" s="451"/>
      <c r="B199" s="450">
        <v>1</v>
      </c>
      <c r="C199" s="450" t="s">
        <v>256</v>
      </c>
      <c r="D199" s="450" t="s">
        <v>73</v>
      </c>
      <c r="E199" s="655" t="s">
        <v>124</v>
      </c>
      <c r="F199" s="448">
        <v>5800000</v>
      </c>
      <c r="G199" s="448"/>
      <c r="H199" s="448">
        <f t="shared" ref="H199:H205" si="18">F199+G199</f>
        <v>5800000</v>
      </c>
      <c r="I199" s="119"/>
      <c r="J199" s="119"/>
      <c r="K199" s="119"/>
      <c r="L199" s="119"/>
    </row>
    <row r="200" spans="1:12" ht="14.25" customHeight="1">
      <c r="A200" s="827" t="s">
        <v>177</v>
      </c>
      <c r="B200" s="827"/>
      <c r="C200" s="827"/>
      <c r="D200" s="827"/>
      <c r="E200" s="827"/>
      <c r="F200" s="626">
        <f>+F202+F201</f>
        <v>17741689</v>
      </c>
      <c r="G200" s="626">
        <f>+G202+G201</f>
        <v>7258311</v>
      </c>
      <c r="H200" s="626">
        <f>F200+G200</f>
        <v>25000000</v>
      </c>
      <c r="I200" s="119"/>
      <c r="J200" s="119"/>
      <c r="K200" s="119"/>
      <c r="L200" s="119"/>
    </row>
    <row r="201" spans="1:12" ht="14.25" customHeight="1">
      <c r="A201" s="451"/>
      <c r="B201" s="450">
        <v>1</v>
      </c>
      <c r="C201" s="450" t="s">
        <v>254</v>
      </c>
      <c r="D201" s="450" t="s">
        <v>73</v>
      </c>
      <c r="E201" s="526" t="s">
        <v>125</v>
      </c>
      <c r="F201" s="448">
        <f>20000000-7258311</f>
        <v>12741689</v>
      </c>
      <c r="G201" s="448">
        <v>7258311</v>
      </c>
      <c r="H201" s="448">
        <f t="shared" si="18"/>
        <v>20000000</v>
      </c>
      <c r="I201" s="119"/>
      <c r="J201" s="119"/>
      <c r="K201" s="119"/>
      <c r="L201" s="119"/>
    </row>
    <row r="202" spans="1:12" ht="14.25" customHeight="1">
      <c r="A202" s="451"/>
      <c r="B202" s="450">
        <v>2</v>
      </c>
      <c r="C202" s="450" t="s">
        <v>255</v>
      </c>
      <c r="D202" s="450" t="s">
        <v>72</v>
      </c>
      <c r="E202" s="609" t="s">
        <v>40</v>
      </c>
      <c r="F202" s="448">
        <v>5000000</v>
      </c>
      <c r="G202" s="448"/>
      <c r="H202" s="448">
        <f t="shared" si="18"/>
        <v>5000000</v>
      </c>
      <c r="I202" s="119"/>
      <c r="J202" s="119"/>
      <c r="K202" s="119"/>
      <c r="L202" s="119"/>
    </row>
    <row r="203" spans="1:12" ht="14.25" customHeight="1">
      <c r="A203" s="827" t="s">
        <v>126</v>
      </c>
      <c r="B203" s="827"/>
      <c r="C203" s="827"/>
      <c r="D203" s="827"/>
      <c r="E203" s="827"/>
      <c r="F203" s="626">
        <f>F204+F205</f>
        <v>0</v>
      </c>
      <c r="G203" s="626"/>
      <c r="H203" s="626">
        <f t="shared" si="18"/>
        <v>0</v>
      </c>
      <c r="I203" s="119"/>
      <c r="J203" s="119"/>
      <c r="K203" s="119"/>
      <c r="L203" s="119"/>
    </row>
    <row r="204" spans="1:12" ht="14.25" customHeight="1">
      <c r="A204" s="451"/>
      <c r="B204" s="450">
        <v>1</v>
      </c>
      <c r="C204" s="829" t="s">
        <v>127</v>
      </c>
      <c r="D204" s="450" t="s">
        <v>73</v>
      </c>
      <c r="E204" s="828" t="s">
        <v>189</v>
      </c>
      <c r="F204" s="448">
        <v>0</v>
      </c>
      <c r="G204" s="448"/>
      <c r="H204" s="448">
        <f t="shared" si="18"/>
        <v>0</v>
      </c>
      <c r="I204" s="119"/>
      <c r="J204" s="119"/>
      <c r="K204" s="119"/>
      <c r="L204" s="119"/>
    </row>
    <row r="205" spans="1:12" ht="14.25" customHeight="1">
      <c r="A205" s="451"/>
      <c r="B205" s="450">
        <v>2</v>
      </c>
      <c r="C205" s="829"/>
      <c r="D205" s="450" t="s">
        <v>72</v>
      </c>
      <c r="E205" s="828"/>
      <c r="F205" s="448"/>
      <c r="G205" s="448"/>
      <c r="H205" s="448">
        <f t="shared" si="18"/>
        <v>0</v>
      </c>
      <c r="I205" s="119"/>
      <c r="J205" s="119"/>
      <c r="K205" s="119"/>
      <c r="L205" s="119"/>
    </row>
    <row r="206" spans="1:12" ht="17.25" customHeight="1">
      <c r="A206" s="832" t="s">
        <v>128</v>
      </c>
      <c r="B206" s="832"/>
      <c r="C206" s="832"/>
      <c r="D206" s="832"/>
      <c r="E206" s="832"/>
      <c r="F206" s="626">
        <f>SUM(F207:F225)</f>
        <v>19313867.181102362</v>
      </c>
      <c r="G206" s="626"/>
      <c r="H206" s="626">
        <f>F206+G206</f>
        <v>19313867.181102362</v>
      </c>
      <c r="I206" s="125"/>
      <c r="J206" s="119"/>
      <c r="K206" s="119"/>
      <c r="L206" s="119"/>
    </row>
    <row r="207" spans="1:12" ht="12.75" customHeight="1">
      <c r="A207" s="625"/>
      <c r="B207" s="450">
        <v>1</v>
      </c>
      <c r="C207" s="619" t="s">
        <v>169</v>
      </c>
      <c r="D207" s="619" t="s">
        <v>72</v>
      </c>
      <c r="E207" s="526" t="s">
        <v>352</v>
      </c>
      <c r="F207" s="656">
        <f>2186145+782047</f>
        <v>2968192</v>
      </c>
      <c r="G207" s="448"/>
      <c r="H207" s="448">
        <f>F207+G207</f>
        <v>2968192</v>
      </c>
      <c r="I207" s="119"/>
      <c r="J207" s="119"/>
      <c r="K207" s="119"/>
      <c r="L207" s="119"/>
    </row>
    <row r="208" spans="1:12" ht="12.75" customHeight="1">
      <c r="A208" s="451"/>
      <c r="B208" s="829">
        <v>2</v>
      </c>
      <c r="C208" s="829" t="s">
        <v>132</v>
      </c>
      <c r="D208" s="450" t="s">
        <v>73</v>
      </c>
      <c r="E208" s="828" t="s">
        <v>186</v>
      </c>
      <c r="F208" s="448">
        <f>2000000+1000000</f>
        <v>3000000</v>
      </c>
      <c r="G208" s="448"/>
      <c r="H208" s="448">
        <f t="shared" ref="H208:H220" si="19">F208</f>
        <v>3000000</v>
      </c>
      <c r="I208" s="119"/>
      <c r="J208" s="119"/>
      <c r="K208" s="119"/>
      <c r="L208" s="119"/>
    </row>
    <row r="209" spans="1:12" ht="12.75" customHeight="1">
      <c r="A209" s="451"/>
      <c r="B209" s="829"/>
      <c r="C209" s="829"/>
      <c r="D209" s="450" t="s">
        <v>72</v>
      </c>
      <c r="E209" s="828"/>
      <c r="F209" s="448"/>
      <c r="G209" s="448"/>
      <c r="H209" s="448">
        <f t="shared" si="19"/>
        <v>0</v>
      </c>
      <c r="I209" s="119"/>
      <c r="J209" s="119"/>
      <c r="K209" s="119"/>
      <c r="L209" s="119"/>
    </row>
    <row r="210" spans="1:12" ht="12.75" customHeight="1">
      <c r="A210" s="451"/>
      <c r="B210" s="829">
        <v>3</v>
      </c>
      <c r="C210" s="829" t="s">
        <v>130</v>
      </c>
      <c r="D210" s="450" t="s">
        <v>73</v>
      </c>
      <c r="E210" s="828" t="s">
        <v>188</v>
      </c>
      <c r="F210" s="448"/>
      <c r="G210" s="448"/>
      <c r="H210" s="448">
        <f t="shared" si="19"/>
        <v>0</v>
      </c>
      <c r="I210" s="119"/>
      <c r="J210" s="119"/>
      <c r="K210" s="119"/>
      <c r="L210" s="119"/>
    </row>
    <row r="211" spans="1:12" ht="12.75" customHeight="1">
      <c r="A211" s="451"/>
      <c r="B211" s="829"/>
      <c r="C211" s="829"/>
      <c r="D211" s="450" t="s">
        <v>72</v>
      </c>
      <c r="E211" s="828"/>
      <c r="F211" s="448">
        <f>750000/1.27+'[1]1'!$J$73+1000000</f>
        <v>3748208.1811023625</v>
      </c>
      <c r="G211" s="448"/>
      <c r="H211" s="448">
        <f t="shared" si="19"/>
        <v>3748208.1811023625</v>
      </c>
      <c r="I211" s="119"/>
      <c r="J211" s="119"/>
      <c r="K211" s="119"/>
      <c r="L211" s="119"/>
    </row>
    <row r="212" spans="1:12" ht="12.75" customHeight="1">
      <c r="A212" s="451"/>
      <c r="B212" s="829">
        <v>4</v>
      </c>
      <c r="C212" s="829" t="s">
        <v>129</v>
      </c>
      <c r="D212" s="450" t="s">
        <v>73</v>
      </c>
      <c r="E212" s="828" t="s">
        <v>190</v>
      </c>
      <c r="F212" s="448">
        <v>2000000</v>
      </c>
      <c r="G212" s="448"/>
      <c r="H212" s="448">
        <f t="shared" si="19"/>
        <v>2000000</v>
      </c>
      <c r="I212" s="119"/>
      <c r="J212" s="119"/>
      <c r="K212" s="119"/>
      <c r="L212" s="119"/>
    </row>
    <row r="213" spans="1:12" ht="12.75" customHeight="1">
      <c r="A213" s="451"/>
      <c r="B213" s="829"/>
      <c r="C213" s="829"/>
      <c r="D213" s="450" t="s">
        <v>72</v>
      </c>
      <c r="E213" s="828"/>
      <c r="F213" s="448"/>
      <c r="G213" s="448"/>
      <c r="H213" s="448">
        <f>F213</f>
        <v>0</v>
      </c>
      <c r="I213" s="119"/>
      <c r="J213" s="119"/>
      <c r="K213" s="119"/>
      <c r="L213" s="119"/>
    </row>
    <row r="214" spans="1:12" ht="12.75" customHeight="1">
      <c r="A214" s="451"/>
      <c r="B214" s="829">
        <v>5</v>
      </c>
      <c r="C214" s="829" t="s">
        <v>205</v>
      </c>
      <c r="D214" s="450" t="s">
        <v>73</v>
      </c>
      <c r="E214" s="828" t="s">
        <v>202</v>
      </c>
      <c r="F214" s="448"/>
      <c r="G214" s="448"/>
      <c r="H214" s="448">
        <f t="shared" si="19"/>
        <v>0</v>
      </c>
      <c r="I214" s="119"/>
      <c r="J214" s="119"/>
      <c r="K214" s="119"/>
      <c r="L214" s="119"/>
    </row>
    <row r="215" spans="1:12" ht="12.75" customHeight="1">
      <c r="A215" s="451"/>
      <c r="B215" s="829"/>
      <c r="C215" s="829"/>
      <c r="D215" s="450" t="s">
        <v>72</v>
      </c>
      <c r="E215" s="828"/>
      <c r="F215" s="448"/>
      <c r="G215" s="448"/>
      <c r="H215" s="448">
        <f t="shared" si="19"/>
        <v>0</v>
      </c>
      <c r="I215" s="119"/>
      <c r="J215" s="119"/>
      <c r="K215" s="119"/>
      <c r="L215" s="119"/>
    </row>
    <row r="216" spans="1:12" ht="12.75" customHeight="1">
      <c r="A216" s="451"/>
      <c r="B216" s="829">
        <v>6</v>
      </c>
      <c r="C216" s="829" t="s">
        <v>201</v>
      </c>
      <c r="D216" s="450" t="s">
        <v>73</v>
      </c>
      <c r="E216" s="828" t="s">
        <v>203</v>
      </c>
      <c r="F216" s="448"/>
      <c r="G216" s="448"/>
      <c r="H216" s="448">
        <f t="shared" si="19"/>
        <v>0</v>
      </c>
      <c r="I216" s="119"/>
      <c r="J216" s="119"/>
      <c r="K216" s="119"/>
      <c r="L216" s="119"/>
    </row>
    <row r="217" spans="1:12" ht="12.75" customHeight="1">
      <c r="A217" s="451"/>
      <c r="B217" s="829"/>
      <c r="C217" s="829"/>
      <c r="D217" s="450" t="s">
        <v>72</v>
      </c>
      <c r="E217" s="828"/>
      <c r="F217" s="448">
        <f>579389+211153+'[1]1'!$J$76+623995</f>
        <v>2444708</v>
      </c>
      <c r="G217" s="448"/>
      <c r="H217" s="448">
        <f t="shared" si="19"/>
        <v>2444708</v>
      </c>
      <c r="I217" s="119"/>
      <c r="J217" s="119"/>
      <c r="K217" s="119"/>
      <c r="L217" s="119"/>
    </row>
    <row r="218" spans="1:12" ht="12.75" customHeight="1">
      <c r="A218" s="451"/>
      <c r="B218" s="829">
        <v>7</v>
      </c>
      <c r="C218" s="829" t="s">
        <v>200</v>
      </c>
      <c r="D218" s="450" t="s">
        <v>73</v>
      </c>
      <c r="E218" s="828" t="s">
        <v>204</v>
      </c>
      <c r="F218" s="448"/>
      <c r="G218" s="448"/>
      <c r="H218" s="448">
        <f t="shared" si="19"/>
        <v>0</v>
      </c>
      <c r="I218" s="119"/>
      <c r="J218" s="119"/>
      <c r="K218" s="119"/>
      <c r="L218" s="119"/>
    </row>
    <row r="219" spans="1:12" ht="12.75" customHeight="1">
      <c r="A219" s="451"/>
      <c r="B219" s="829"/>
      <c r="C219" s="829"/>
      <c r="D219" s="450" t="s">
        <v>72</v>
      </c>
      <c r="E219" s="828"/>
      <c r="F219" s="448"/>
      <c r="G219" s="448"/>
      <c r="H219" s="448">
        <f t="shared" si="19"/>
        <v>0</v>
      </c>
      <c r="I219" s="119"/>
      <c r="J219" s="119"/>
      <c r="K219" s="119"/>
      <c r="L219" s="119"/>
    </row>
    <row r="220" spans="1:12" ht="12.75" customHeight="1">
      <c r="A220" s="451"/>
      <c r="B220" s="829">
        <v>8</v>
      </c>
      <c r="C220" s="829" t="s">
        <v>131</v>
      </c>
      <c r="D220" s="450" t="s">
        <v>73</v>
      </c>
      <c r="E220" s="828" t="s">
        <v>185</v>
      </c>
      <c r="F220" s="448">
        <v>500000</v>
      </c>
      <c r="G220" s="448"/>
      <c r="H220" s="448">
        <f t="shared" si="19"/>
        <v>500000</v>
      </c>
      <c r="I220" s="119"/>
      <c r="J220" s="119"/>
      <c r="K220" s="119"/>
      <c r="L220" s="119"/>
    </row>
    <row r="221" spans="1:12" ht="12.75" customHeight="1">
      <c r="A221" s="451"/>
      <c r="B221" s="829"/>
      <c r="C221" s="829"/>
      <c r="D221" s="450" t="s">
        <v>72</v>
      </c>
      <c r="E221" s="828"/>
      <c r="F221" s="448"/>
      <c r="G221" s="448"/>
      <c r="H221" s="448">
        <f t="shared" ref="H221:H224" si="20">F221</f>
        <v>0</v>
      </c>
      <c r="I221" s="119"/>
      <c r="J221" s="119"/>
      <c r="K221" s="119"/>
      <c r="L221" s="119"/>
    </row>
    <row r="222" spans="1:12" ht="12.75" customHeight="1">
      <c r="A222" s="451"/>
      <c r="B222" s="829">
        <v>9</v>
      </c>
      <c r="C222" s="829" t="s">
        <v>170</v>
      </c>
      <c r="D222" s="450" t="s">
        <v>73</v>
      </c>
      <c r="E222" s="828" t="s">
        <v>172</v>
      </c>
      <c r="F222" s="448"/>
      <c r="G222" s="448"/>
      <c r="H222" s="448">
        <f t="shared" si="20"/>
        <v>0</v>
      </c>
      <c r="I222" s="119"/>
      <c r="J222" s="119"/>
      <c r="K222" s="119"/>
      <c r="L222" s="119"/>
    </row>
    <row r="223" spans="1:12" ht="12.75" customHeight="1">
      <c r="A223" s="451"/>
      <c r="B223" s="829"/>
      <c r="C223" s="829"/>
      <c r="D223" s="450" t="s">
        <v>72</v>
      </c>
      <c r="E223" s="828"/>
      <c r="F223" s="448"/>
      <c r="G223" s="448"/>
      <c r="H223" s="448">
        <f>F223</f>
        <v>0</v>
      </c>
      <c r="I223" s="119"/>
      <c r="J223" s="119"/>
      <c r="K223" s="119"/>
      <c r="L223" s="119"/>
    </row>
    <row r="224" spans="1:12" ht="12.75" customHeight="1">
      <c r="A224" s="451"/>
      <c r="B224" s="829">
        <v>10</v>
      </c>
      <c r="C224" s="829" t="s">
        <v>303</v>
      </c>
      <c r="D224" s="450" t="s">
        <v>73</v>
      </c>
      <c r="E224" s="828" t="s">
        <v>173</v>
      </c>
      <c r="F224" s="448">
        <f>4000000+652759</f>
        <v>4652759</v>
      </c>
      <c r="G224" s="448"/>
      <c r="H224" s="448">
        <f t="shared" si="20"/>
        <v>4652759</v>
      </c>
      <c r="I224" s="119"/>
      <c r="J224" s="119"/>
      <c r="K224" s="119"/>
      <c r="L224" s="119"/>
    </row>
    <row r="225" spans="1:12" ht="12.75" customHeight="1">
      <c r="A225" s="451"/>
      <c r="B225" s="829"/>
      <c r="C225" s="829"/>
      <c r="D225" s="450" t="s">
        <v>72</v>
      </c>
      <c r="E225" s="828"/>
      <c r="F225" s="448"/>
      <c r="G225" s="448"/>
      <c r="H225" s="448">
        <f>F225</f>
        <v>0</v>
      </c>
      <c r="I225" s="119"/>
      <c r="J225" s="119"/>
      <c r="K225" s="119"/>
      <c r="L225" s="119"/>
    </row>
    <row r="226" spans="1:12" ht="14.25" customHeight="1">
      <c r="A226" s="832" t="s">
        <v>133</v>
      </c>
      <c r="B226" s="832"/>
      <c r="C226" s="832"/>
      <c r="D226" s="832"/>
      <c r="E226" s="832"/>
      <c r="F226" s="626">
        <f>F227+F228</f>
        <v>0</v>
      </c>
      <c r="G226" s="626">
        <f>G227+G228</f>
        <v>3073000</v>
      </c>
      <c r="H226" s="626">
        <f>G226</f>
        <v>3073000</v>
      </c>
      <c r="I226" s="125"/>
      <c r="J226" s="119"/>
      <c r="K226" s="119"/>
      <c r="L226" s="119"/>
    </row>
    <row r="227" spans="1:12" ht="14.25" customHeight="1">
      <c r="A227" s="451"/>
      <c r="B227" s="625">
        <v>1</v>
      </c>
      <c r="C227" s="849" t="s">
        <v>191</v>
      </c>
      <c r="D227" s="625" t="s">
        <v>72</v>
      </c>
      <c r="E227" s="860" t="s">
        <v>213</v>
      </c>
      <c r="F227" s="626"/>
      <c r="G227" s="448">
        <f>450-450</f>
        <v>0</v>
      </c>
      <c r="H227" s="448">
        <f>G227</f>
        <v>0</v>
      </c>
      <c r="I227" s="119"/>
      <c r="J227" s="119"/>
      <c r="K227" s="119"/>
      <c r="L227" s="119"/>
    </row>
    <row r="228" spans="1:12" ht="14.25" customHeight="1">
      <c r="A228" s="451"/>
      <c r="B228" s="625">
        <v>2</v>
      </c>
      <c r="C228" s="849"/>
      <c r="D228" s="625" t="s">
        <v>73</v>
      </c>
      <c r="E228" s="860"/>
      <c r="F228" s="626"/>
      <c r="G228" s="448">
        <f>150000+232900+800000+400000+1490100</f>
        <v>3073000</v>
      </c>
      <c r="H228" s="448">
        <f>G228</f>
        <v>3073000</v>
      </c>
      <c r="I228" s="119"/>
      <c r="J228" s="119"/>
      <c r="K228" s="119"/>
      <c r="L228" s="119"/>
    </row>
    <row r="229" spans="1:12" ht="14.25" customHeight="1">
      <c r="A229" s="832" t="s">
        <v>134</v>
      </c>
      <c r="B229" s="832"/>
      <c r="C229" s="832"/>
      <c r="D229" s="832"/>
      <c r="E229" s="832"/>
      <c r="F229" s="626">
        <v>0</v>
      </c>
      <c r="G229" s="626">
        <v>0</v>
      </c>
      <c r="H229" s="448">
        <f>F229+G229</f>
        <v>0</v>
      </c>
      <c r="I229" s="119"/>
      <c r="J229" s="119"/>
      <c r="K229" s="119"/>
      <c r="L229" s="119"/>
    </row>
    <row r="230" spans="1:12" ht="14.25" customHeight="1">
      <c r="A230" s="832" t="s">
        <v>135</v>
      </c>
      <c r="B230" s="832"/>
      <c r="C230" s="832"/>
      <c r="D230" s="832"/>
      <c r="E230" s="832"/>
      <c r="F230" s="626">
        <v>0</v>
      </c>
      <c r="G230" s="626"/>
      <c r="H230" s="626">
        <f>G230</f>
        <v>0</v>
      </c>
      <c r="I230" s="119"/>
      <c r="J230" s="119"/>
      <c r="K230" s="119"/>
      <c r="L230" s="119"/>
    </row>
    <row r="231" spans="1:12" ht="14.25" customHeight="1">
      <c r="A231" s="832" t="s">
        <v>136</v>
      </c>
      <c r="B231" s="832"/>
      <c r="C231" s="832"/>
      <c r="D231" s="832"/>
      <c r="E231" s="832"/>
      <c r="F231" s="626">
        <f>G232+F233+F234+F235+F236</f>
        <v>304341200</v>
      </c>
      <c r="G231" s="626">
        <f>G233+G234+G235+G236</f>
        <v>0</v>
      </c>
      <c r="H231" s="626">
        <f>G231+F231</f>
        <v>304341200</v>
      </c>
      <c r="I231" s="119"/>
      <c r="J231" s="125"/>
      <c r="K231" s="119"/>
      <c r="L231" s="119"/>
    </row>
    <row r="232" spans="1:12" ht="12.75" customHeight="1">
      <c r="A232" s="451"/>
      <c r="B232" s="625" t="s">
        <v>15</v>
      </c>
      <c r="C232" s="849" t="s">
        <v>165</v>
      </c>
      <c r="D232" s="625" t="s">
        <v>72</v>
      </c>
      <c r="E232" s="851" t="s">
        <v>264</v>
      </c>
      <c r="F232" s="653"/>
      <c r="G232" s="448">
        <f>195488846+303165</f>
        <v>195792011</v>
      </c>
      <c r="H232" s="626">
        <f>G232+F232</f>
        <v>195792011</v>
      </c>
      <c r="I232" s="119"/>
      <c r="J232" s="119"/>
      <c r="K232" s="119"/>
      <c r="L232" s="119"/>
    </row>
    <row r="233" spans="1:12" ht="11.25" customHeight="1">
      <c r="A233" s="451"/>
      <c r="B233" s="625"/>
      <c r="C233" s="849"/>
      <c r="D233" s="625" t="s">
        <v>73</v>
      </c>
      <c r="E233" s="851"/>
      <c r="F233" s="448"/>
      <c r="G233" s="448"/>
      <c r="H233" s="626">
        <f>F233</f>
        <v>0</v>
      </c>
      <c r="I233" s="119"/>
      <c r="J233" s="119"/>
      <c r="K233" s="119"/>
      <c r="L233" s="119"/>
    </row>
    <row r="234" spans="1:12" ht="12.75" customHeight="1">
      <c r="A234" s="451"/>
      <c r="B234" s="625"/>
      <c r="C234" s="849"/>
      <c r="D234" s="625" t="s">
        <v>94</v>
      </c>
      <c r="E234" s="851"/>
      <c r="F234" s="448"/>
      <c r="G234" s="448"/>
      <c r="H234" s="626">
        <f>F234</f>
        <v>0</v>
      </c>
      <c r="I234" s="119"/>
      <c r="J234" s="119"/>
      <c r="K234" s="119"/>
      <c r="L234" s="119"/>
    </row>
    <row r="235" spans="1:12" ht="12.75" customHeight="1">
      <c r="A235" s="451"/>
      <c r="B235" s="625">
        <v>2</v>
      </c>
      <c r="C235" s="625" t="s">
        <v>245</v>
      </c>
      <c r="D235" s="625" t="s">
        <v>73</v>
      </c>
      <c r="E235" s="657" t="s">
        <v>246</v>
      </c>
      <c r="F235" s="448">
        <v>100000000</v>
      </c>
      <c r="G235" s="448">
        <v>0</v>
      </c>
      <c r="H235" s="626">
        <f>F235</f>
        <v>100000000</v>
      </c>
      <c r="I235" s="119"/>
      <c r="J235" s="125"/>
      <c r="K235" s="119"/>
      <c r="L235" s="119"/>
    </row>
    <row r="236" spans="1:12" ht="12.75" customHeight="1">
      <c r="A236" s="451"/>
      <c r="B236" s="625" t="s">
        <v>17</v>
      </c>
      <c r="C236" s="625" t="s">
        <v>247</v>
      </c>
      <c r="D236" s="625" t="s">
        <v>72</v>
      </c>
      <c r="E236" s="658" t="s">
        <v>248</v>
      </c>
      <c r="F236" s="448">
        <f>7794568+754621</f>
        <v>8549189</v>
      </c>
      <c r="G236" s="448"/>
      <c r="H236" s="626">
        <f>F236</f>
        <v>8549189</v>
      </c>
      <c r="I236" s="119"/>
      <c r="J236" s="119"/>
      <c r="K236" s="119"/>
      <c r="L236" s="119"/>
    </row>
    <row r="237" spans="1:12" ht="14.25" customHeight="1">
      <c r="A237" s="451"/>
      <c r="B237" s="625"/>
      <c r="C237" s="625"/>
      <c r="D237" s="625"/>
      <c r="E237" s="657"/>
      <c r="F237" s="448"/>
      <c r="G237" s="448"/>
      <c r="H237" s="626"/>
      <c r="I237" s="119"/>
      <c r="J237" s="119"/>
      <c r="K237" s="119"/>
      <c r="L237" s="119"/>
    </row>
    <row r="238" spans="1:12" ht="16.5" customHeight="1">
      <c r="A238" s="852" t="s">
        <v>275</v>
      </c>
      <c r="B238" s="852"/>
      <c r="C238" s="852"/>
      <c r="D238" s="852"/>
      <c r="E238" s="852"/>
      <c r="F238" s="605">
        <f>F142+F187+F194+F206+F226+F229+F230+F231</f>
        <v>598654361.34110236</v>
      </c>
      <c r="G238" s="605">
        <f>G142+G187+G194+G206+G226+G229+G230+G231</f>
        <v>225841629</v>
      </c>
      <c r="H238" s="605">
        <f>F238+G238</f>
        <v>824495990.34110236</v>
      </c>
      <c r="I238" s="119"/>
      <c r="J238" s="119"/>
      <c r="K238" s="119"/>
      <c r="L238" s="119"/>
    </row>
    <row r="239" spans="1:12" s="33" customFormat="1" ht="14.25" customHeight="1">
      <c r="A239" s="850" t="s">
        <v>97</v>
      </c>
      <c r="B239" s="850"/>
      <c r="C239" s="850"/>
      <c r="D239" s="850"/>
      <c r="E239" s="850"/>
      <c r="F239" s="659">
        <f>+G232+F225+F221+F217+F215+F209+F205+F202+F183+F182+F181+F180+F171+F170+F167+F166+F163+F162+F161+F159+F158+F155+F153+F152+F151+F150+F149+F148+F147+F146+F168+F229+F236+F172+F213+F211+F156</f>
        <v>455893285.3411023</v>
      </c>
      <c r="G239" s="659">
        <f>G187+G230</f>
        <v>215510318</v>
      </c>
      <c r="H239" s="659">
        <f>F239+G239</f>
        <v>671403603.34110236</v>
      </c>
      <c r="I239" s="126"/>
      <c r="J239" s="126"/>
      <c r="K239" s="122"/>
      <c r="L239" s="126"/>
    </row>
    <row r="240" spans="1:12" s="33" customFormat="1" ht="14.25" customHeight="1">
      <c r="A240" s="854" t="s">
        <v>296</v>
      </c>
      <c r="B240" s="854"/>
      <c r="C240" s="854"/>
      <c r="D240" s="854"/>
      <c r="E240" s="854"/>
      <c r="F240" s="659"/>
      <c r="G240" s="659"/>
      <c r="H240" s="659">
        <f t="shared" ref="H240:H241" si="21">F240+G240</f>
        <v>0</v>
      </c>
      <c r="I240" s="222"/>
      <c r="J240" s="126"/>
      <c r="K240" s="122"/>
      <c r="L240" s="126"/>
    </row>
    <row r="241" spans="1:12" s="33" customFormat="1" ht="14.25" customHeight="1">
      <c r="A241" s="660"/>
      <c r="B241" s="660"/>
      <c r="C241" s="660"/>
      <c r="D241" s="660"/>
      <c r="E241" s="661" t="s">
        <v>297</v>
      </c>
      <c r="F241" s="662">
        <f>F235+F201+F199+F164+F165+F185</f>
        <v>127387731</v>
      </c>
      <c r="G241" s="662">
        <f>G228+G201</f>
        <v>10331311</v>
      </c>
      <c r="H241" s="659">
        <f t="shared" si="21"/>
        <v>137719042</v>
      </c>
      <c r="I241" s="231"/>
      <c r="J241" s="222"/>
      <c r="K241" s="122"/>
      <c r="L241" s="126"/>
    </row>
    <row r="242" spans="1:12" ht="14.25" customHeight="1">
      <c r="A242" s="855" t="s">
        <v>252</v>
      </c>
      <c r="B242" s="855"/>
      <c r="C242" s="855"/>
      <c r="D242" s="855"/>
      <c r="E242" s="855"/>
      <c r="F242" s="663">
        <f>F238+F138</f>
        <v>611250928.34110236</v>
      </c>
      <c r="G242" s="663">
        <f>G238+G138</f>
        <v>225841629</v>
      </c>
      <c r="H242" s="663">
        <f>F242+G242</f>
        <v>837092557.34110236</v>
      </c>
      <c r="I242" s="119"/>
      <c r="J242" s="119"/>
      <c r="K242" s="119"/>
      <c r="L242" s="119"/>
    </row>
    <row r="243" spans="1:12" ht="14.25" customHeight="1">
      <c r="A243" s="853" t="s">
        <v>97</v>
      </c>
      <c r="B243" s="853"/>
      <c r="C243" s="853"/>
      <c r="D243" s="853"/>
      <c r="E243" s="853"/>
      <c r="F243" s="663">
        <f>F239+F139</f>
        <v>465949352.3411023</v>
      </c>
      <c r="G243" s="663">
        <f>G239+G139</f>
        <v>215510318</v>
      </c>
      <c r="H243" s="663">
        <f>F243+G243</f>
        <v>681459670.34110236</v>
      </c>
      <c r="I243" s="119"/>
      <c r="J243" s="119"/>
      <c r="K243" s="119"/>
      <c r="L243" s="119"/>
    </row>
    <row r="244" spans="1:12" ht="14.25" customHeight="1">
      <c r="A244" s="853" t="s">
        <v>95</v>
      </c>
      <c r="B244" s="853"/>
      <c r="C244" s="853"/>
      <c r="D244" s="853"/>
      <c r="E244" s="853"/>
      <c r="F244" s="663">
        <v>0</v>
      </c>
      <c r="G244" s="663">
        <v>0</v>
      </c>
      <c r="H244" s="663">
        <f>F244+G244</f>
        <v>0</v>
      </c>
      <c r="I244" s="119"/>
      <c r="J244" s="119"/>
      <c r="K244" s="119"/>
      <c r="L244" s="119"/>
    </row>
    <row r="245" spans="1:12" ht="14.25" customHeight="1">
      <c r="A245" s="853" t="s">
        <v>96</v>
      </c>
      <c r="B245" s="853"/>
      <c r="C245" s="853"/>
      <c r="D245" s="853"/>
      <c r="E245" s="853"/>
      <c r="F245" s="663">
        <f>F241+F140</f>
        <v>129928231</v>
      </c>
      <c r="G245" s="663">
        <f>G241+G140</f>
        <v>10331311</v>
      </c>
      <c r="H245" s="663">
        <f>F245+G245</f>
        <v>140259542</v>
      </c>
      <c r="I245" s="119"/>
      <c r="J245" s="119"/>
      <c r="K245" s="119"/>
      <c r="L245" s="119"/>
    </row>
    <row r="246" spans="1:12" ht="15" customHeight="1">
      <c r="A246" s="848" t="s">
        <v>137</v>
      </c>
      <c r="B246" s="848"/>
      <c r="C246" s="848"/>
      <c r="D246" s="848"/>
      <c r="E246" s="848"/>
      <c r="F246" s="848"/>
      <c r="G246" s="848"/>
      <c r="H246" s="848"/>
      <c r="I246" s="119"/>
      <c r="J246" s="119"/>
      <c r="K246" s="119"/>
      <c r="L246" s="119"/>
    </row>
    <row r="247" spans="1:12" ht="16.5" customHeight="1">
      <c r="A247" s="635"/>
      <c r="B247" s="635"/>
      <c r="C247" s="638" t="s">
        <v>138</v>
      </c>
      <c r="D247" s="638"/>
      <c r="E247" s="638"/>
      <c r="F247" s="639"/>
      <c r="G247" s="639"/>
      <c r="H247" s="639"/>
      <c r="I247" s="119"/>
      <c r="J247" s="119"/>
      <c r="K247" s="119"/>
      <c r="L247" s="119"/>
    </row>
    <row r="248" spans="1:12" ht="12.75" customHeight="1">
      <c r="A248" s="450" t="s">
        <v>15</v>
      </c>
      <c r="B248" s="450"/>
      <c r="C248" s="450" t="s">
        <v>139</v>
      </c>
      <c r="D248" s="450"/>
      <c r="E248" s="609" t="s">
        <v>25</v>
      </c>
      <c r="F248" s="448">
        <f>'5 kiadások'!E92</f>
        <v>151237337</v>
      </c>
      <c r="G248" s="448"/>
      <c r="H248" s="448">
        <f>F248+G248</f>
        <v>151237337</v>
      </c>
      <c r="I248" s="119"/>
      <c r="J248" s="119"/>
      <c r="K248" s="119"/>
      <c r="L248" s="119"/>
    </row>
    <row r="249" spans="1:12" ht="12.75" customHeight="1">
      <c r="A249" s="450" t="s">
        <v>16</v>
      </c>
      <c r="B249" s="450"/>
      <c r="C249" s="450" t="s">
        <v>140</v>
      </c>
      <c r="D249" s="450"/>
      <c r="E249" s="609" t="s">
        <v>74</v>
      </c>
      <c r="F249" s="448">
        <f>'5 kiadások'!F92</f>
        <v>29010597.32</v>
      </c>
      <c r="G249" s="448"/>
      <c r="H249" s="448">
        <f>F249+G249</f>
        <v>29010597.32</v>
      </c>
      <c r="I249" s="119"/>
      <c r="J249" s="119"/>
      <c r="K249" s="119"/>
      <c r="L249" s="119"/>
    </row>
    <row r="250" spans="1:12" s="12" customFormat="1" ht="12.75" customHeight="1">
      <c r="A250" s="450" t="s">
        <v>17</v>
      </c>
      <c r="B250" s="450"/>
      <c r="C250" s="450" t="s">
        <v>141</v>
      </c>
      <c r="D250" s="450"/>
      <c r="E250" s="609" t="s">
        <v>26</v>
      </c>
      <c r="F250" s="448">
        <f>'5 kiadások'!G92</f>
        <v>108977949</v>
      </c>
      <c r="G250" s="448"/>
      <c r="H250" s="448">
        <f>F250+G250</f>
        <v>108977949</v>
      </c>
      <c r="I250" s="122"/>
      <c r="J250" s="122"/>
      <c r="K250" s="122"/>
      <c r="L250" s="122"/>
    </row>
    <row r="251" spans="1:12" ht="12.75" customHeight="1">
      <c r="A251" s="450" t="s">
        <v>18</v>
      </c>
      <c r="B251" s="450"/>
      <c r="C251" s="450" t="s">
        <v>142</v>
      </c>
      <c r="D251" s="450"/>
      <c r="E251" s="609" t="s">
        <v>68</v>
      </c>
      <c r="F251" s="448">
        <f>'5 kiadások'!H92</f>
        <v>3600230</v>
      </c>
      <c r="G251" s="448"/>
      <c r="H251" s="448">
        <f>F251+G251</f>
        <v>3600230</v>
      </c>
      <c r="I251" s="119"/>
      <c r="J251" s="119"/>
      <c r="K251" s="119"/>
      <c r="L251" s="119"/>
    </row>
    <row r="252" spans="1:12" s="12" customFormat="1" ht="12.75" customHeight="1">
      <c r="A252" s="450" t="s">
        <v>19</v>
      </c>
      <c r="B252" s="450"/>
      <c r="C252" s="450" t="s">
        <v>143</v>
      </c>
      <c r="D252" s="450"/>
      <c r="E252" s="650" t="s">
        <v>66</v>
      </c>
      <c r="F252" s="448">
        <f>'5 kiadások'!I91+'5 kiadások'!J91+'5 kiadások'!K91-'5 kiadások'!I89-'5 kiadások'!J90</f>
        <v>11616848</v>
      </c>
      <c r="G252" s="448"/>
      <c r="H252" s="448">
        <f>F252+G252</f>
        <v>11616848</v>
      </c>
      <c r="I252" s="122"/>
      <c r="J252" s="122"/>
      <c r="K252" s="122"/>
      <c r="L252" s="122"/>
    </row>
    <row r="253" spans="1:12" ht="15.75" customHeight="1">
      <c r="A253" s="847" t="s">
        <v>79</v>
      </c>
      <c r="B253" s="847"/>
      <c r="C253" s="847"/>
      <c r="D253" s="847"/>
      <c r="E253" s="847"/>
      <c r="F253" s="626">
        <f>SUM(F248:F252)</f>
        <v>304442961.31999999</v>
      </c>
      <c r="G253" s="626"/>
      <c r="H253" s="626">
        <f>SUM(H248:H252)</f>
        <v>304442961.31999999</v>
      </c>
      <c r="I253" s="119"/>
      <c r="J253" s="119"/>
      <c r="K253" s="119"/>
      <c r="L253" s="119"/>
    </row>
    <row r="254" spans="1:12" ht="17.25" customHeight="1">
      <c r="A254" s="664"/>
      <c r="B254" s="664"/>
      <c r="C254" s="857" t="s">
        <v>144</v>
      </c>
      <c r="D254" s="857"/>
      <c r="E254" s="857"/>
      <c r="F254" s="626"/>
      <c r="G254" s="626"/>
      <c r="H254" s="626"/>
      <c r="I254" s="119"/>
      <c r="J254" s="119"/>
      <c r="K254" s="119"/>
      <c r="L254" s="119"/>
    </row>
    <row r="255" spans="1:12" ht="12" customHeight="1">
      <c r="A255" s="665" t="s">
        <v>15</v>
      </c>
      <c r="B255" s="665"/>
      <c r="C255" s="665" t="s">
        <v>145</v>
      </c>
      <c r="D255" s="665"/>
      <c r="E255" s="666" t="s">
        <v>36</v>
      </c>
      <c r="F255" s="448"/>
      <c r="G255" s="448">
        <f>'6 beruházások'!D6</f>
        <v>289374809</v>
      </c>
      <c r="H255" s="448">
        <f>G255</f>
        <v>289374809</v>
      </c>
      <c r="I255" s="119"/>
      <c r="J255" s="119"/>
      <c r="K255" s="119"/>
      <c r="L255" s="119"/>
    </row>
    <row r="256" spans="1:12" ht="12" customHeight="1">
      <c r="A256" s="665" t="s">
        <v>16</v>
      </c>
      <c r="B256" s="665"/>
      <c r="C256" s="665" t="s">
        <v>146</v>
      </c>
      <c r="D256" s="665"/>
      <c r="E256" s="666" t="s">
        <v>37</v>
      </c>
      <c r="F256" s="448"/>
      <c r="G256" s="448">
        <f>'6 beruházások'!D43</f>
        <v>134725598</v>
      </c>
      <c r="H256" s="448">
        <f>G256</f>
        <v>134725598</v>
      </c>
      <c r="I256" s="119"/>
      <c r="J256" s="119"/>
      <c r="K256" s="119"/>
      <c r="L256" s="119"/>
    </row>
    <row r="257" spans="1:12" ht="12" customHeight="1">
      <c r="A257" s="665" t="s">
        <v>17</v>
      </c>
      <c r="B257" s="665"/>
      <c r="C257" s="665" t="s">
        <v>147</v>
      </c>
      <c r="D257" s="665"/>
      <c r="E257" s="666" t="s">
        <v>41</v>
      </c>
      <c r="F257" s="448"/>
      <c r="G257" s="448">
        <f>'6 beruházások'!D54</f>
        <v>0</v>
      </c>
      <c r="H257" s="448">
        <f>G257</f>
        <v>0</v>
      </c>
      <c r="I257" s="119"/>
      <c r="J257" s="119"/>
      <c r="K257" s="119"/>
      <c r="L257" s="119"/>
    </row>
    <row r="258" spans="1:12" ht="15.75" customHeight="1">
      <c r="A258" s="847" t="s">
        <v>148</v>
      </c>
      <c r="B258" s="847"/>
      <c r="C258" s="847"/>
      <c r="D258" s="847"/>
      <c r="E258" s="847"/>
      <c r="F258" s="626"/>
      <c r="G258" s="626">
        <f>G255+G256+G257</f>
        <v>424100407</v>
      </c>
      <c r="H258" s="626">
        <f>H255+H256+H257</f>
        <v>424100407</v>
      </c>
      <c r="I258" s="119"/>
      <c r="J258" s="119"/>
      <c r="K258" s="119"/>
      <c r="L258" s="119"/>
    </row>
    <row r="259" spans="1:12" ht="16.5" customHeight="1">
      <c r="A259" s="847" t="s">
        <v>149</v>
      </c>
      <c r="B259" s="847"/>
      <c r="C259" s="847"/>
      <c r="D259" s="847"/>
      <c r="E259" s="847"/>
      <c r="F259" s="626">
        <f>'5 kiadások'!I89+'5 kiadások'!J90</f>
        <v>108549189</v>
      </c>
      <c r="G259" s="626">
        <v>0</v>
      </c>
      <c r="H259" s="626">
        <f>G259+F259</f>
        <v>108549189</v>
      </c>
      <c r="I259" s="119"/>
      <c r="J259" s="119"/>
      <c r="K259" s="119"/>
      <c r="L259" s="119"/>
    </row>
    <row r="260" spans="1:12" ht="14.25" customHeight="1">
      <c r="A260" s="858" t="s">
        <v>150</v>
      </c>
      <c r="B260" s="858"/>
      <c r="C260" s="858"/>
      <c r="D260" s="858"/>
      <c r="E260" s="858"/>
      <c r="F260" s="663">
        <f>F253+F258+F259</f>
        <v>412992150.31999999</v>
      </c>
      <c r="G260" s="663">
        <f>G253+G258+G259</f>
        <v>424100407</v>
      </c>
      <c r="H260" s="663">
        <f>H253+H258+H259</f>
        <v>837092557.31999993</v>
      </c>
      <c r="I260" s="119"/>
      <c r="J260" s="119"/>
      <c r="K260" s="119"/>
      <c r="L260" s="119"/>
    </row>
    <row r="261" spans="1:12" s="28" customFormat="1" ht="13.5" customHeight="1">
      <c r="A261" s="859" t="s">
        <v>151</v>
      </c>
      <c r="B261" s="859"/>
      <c r="C261" s="859"/>
      <c r="D261" s="859"/>
      <c r="E261" s="859"/>
      <c r="F261" s="667">
        <f>'5 kiadások'!L93+'5 kiadások'!P85</f>
        <v>372378309.31999999</v>
      </c>
      <c r="G261" s="667">
        <f>'5 kiadások'!O93+'5 kiadások'!M93</f>
        <v>10224068</v>
      </c>
      <c r="H261" s="667">
        <f>F261+G261</f>
        <v>382602377.31999999</v>
      </c>
      <c r="I261" s="121"/>
      <c r="J261" s="121"/>
      <c r="K261" s="121"/>
      <c r="L261" s="121"/>
    </row>
    <row r="262" spans="1:12" s="28" customFormat="1" ht="13.5" customHeight="1">
      <c r="A262" s="856" t="s">
        <v>84</v>
      </c>
      <c r="B262" s="856"/>
      <c r="C262" s="856"/>
      <c r="D262" s="856"/>
      <c r="E262" s="856"/>
      <c r="F262" s="667">
        <f>'5 kiadások'!L95</f>
        <v>40613841</v>
      </c>
      <c r="G262" s="667">
        <f>'5 kiadások'!O95+'5 kiadások'!P95+'5 kiadások'!M95+'5 kiadások'!N95</f>
        <v>413876339</v>
      </c>
      <c r="H262" s="667">
        <f>F262+G262+1</f>
        <v>454490181</v>
      </c>
      <c r="I262" s="121"/>
      <c r="J262" s="121"/>
      <c r="K262" s="121"/>
      <c r="L262" s="121"/>
    </row>
    <row r="263" spans="1:12" s="28" customFormat="1" ht="15" customHeight="1">
      <c r="A263" s="856" t="s">
        <v>152</v>
      </c>
      <c r="B263" s="856"/>
      <c r="C263" s="856"/>
      <c r="D263" s="856"/>
      <c r="E263" s="856"/>
      <c r="F263" s="667">
        <f>'5 kiadások'!L94</f>
        <v>0</v>
      </c>
      <c r="G263" s="667">
        <v>0</v>
      </c>
      <c r="H263" s="667">
        <f>F263+G263</f>
        <v>0</v>
      </c>
      <c r="I263" s="121"/>
      <c r="J263" s="121"/>
      <c r="K263" s="121"/>
      <c r="L263" s="121"/>
    </row>
    <row r="264" spans="1:12" ht="12" customHeight="1">
      <c r="A264" s="668"/>
      <c r="F264" s="41"/>
      <c r="G264" s="41"/>
      <c r="H264" s="41"/>
    </row>
    <row r="265" spans="1:12" s="38" customFormat="1" ht="14.25" customHeight="1">
      <c r="A265" s="668"/>
      <c r="B265" s="668"/>
      <c r="C265" s="668"/>
      <c r="D265" s="668"/>
      <c r="E265" s="669"/>
      <c r="F265" s="670"/>
      <c r="G265" s="670"/>
      <c r="H265" s="670"/>
      <c r="I265" s="10"/>
    </row>
    <row r="266" spans="1:12" ht="12" customHeight="1">
      <c r="A266" s="668"/>
      <c r="F266" s="41"/>
      <c r="G266" s="41"/>
      <c r="H266" s="41"/>
    </row>
    <row r="267" spans="1:12" ht="12" customHeight="1">
      <c r="A267" s="668"/>
      <c r="F267" s="41"/>
      <c r="G267" s="41"/>
      <c r="H267" s="41"/>
      <c r="I267" s="41"/>
    </row>
    <row r="268" spans="1:12" ht="12" customHeight="1">
      <c r="F268" s="41"/>
      <c r="G268" s="41"/>
      <c r="H268" s="41"/>
    </row>
    <row r="269" spans="1:12" ht="12" customHeight="1">
      <c r="F269" s="41"/>
      <c r="G269" s="41"/>
      <c r="H269" s="41"/>
    </row>
    <row r="270" spans="1:12" ht="12" customHeight="1">
      <c r="F270" s="41"/>
      <c r="G270" s="41"/>
      <c r="H270" s="41"/>
    </row>
    <row r="271" spans="1:12" ht="12" customHeight="1">
      <c r="F271" s="41"/>
      <c r="G271" s="41"/>
      <c r="H271" s="41"/>
    </row>
    <row r="272" spans="1:12" ht="12" customHeight="1">
      <c r="F272" s="41"/>
      <c r="G272" s="41"/>
      <c r="H272" s="41"/>
    </row>
    <row r="273" spans="5:8" ht="12" customHeight="1">
      <c r="E273" s="41"/>
      <c r="F273" s="41"/>
      <c r="G273" s="41"/>
      <c r="H273" s="41"/>
    </row>
    <row r="274" spans="5:8" ht="12" customHeight="1">
      <c r="E274" s="41"/>
      <c r="F274" s="41"/>
      <c r="G274" s="41"/>
      <c r="H274" s="41"/>
    </row>
    <row r="275" spans="5:8" ht="12" customHeight="1">
      <c r="E275" s="41"/>
      <c r="F275" s="41"/>
      <c r="G275" s="41"/>
      <c r="H275" s="41"/>
    </row>
    <row r="276" spans="5:8" ht="12" customHeight="1">
      <c r="F276" s="41"/>
      <c r="G276" s="41"/>
      <c r="H276" s="41"/>
    </row>
    <row r="277" spans="5:8" ht="12" customHeight="1">
      <c r="F277" s="41"/>
      <c r="G277" s="41"/>
      <c r="H277" s="41"/>
    </row>
  </sheetData>
  <mergeCells count="83">
    <mergeCell ref="A197:E197"/>
    <mergeCell ref="C222:C223"/>
    <mergeCell ref="C220:C221"/>
    <mergeCell ref="A8:E8"/>
    <mergeCell ref="E1:H1"/>
    <mergeCell ref="E216:E217"/>
    <mergeCell ref="C216:C217"/>
    <mergeCell ref="C212:C213"/>
    <mergeCell ref="A195:E195"/>
    <mergeCell ref="A196:E196"/>
    <mergeCell ref="G4:G5"/>
    <mergeCell ref="A187:E187"/>
    <mergeCell ref="B208:B209"/>
    <mergeCell ref="C204:C205"/>
    <mergeCell ref="E204:E205"/>
    <mergeCell ref="A198:E198"/>
    <mergeCell ref="A200:E200"/>
    <mergeCell ref="A230:E230"/>
    <mergeCell ref="A229:E229"/>
    <mergeCell ref="E227:E228"/>
    <mergeCell ref="E224:E225"/>
    <mergeCell ref="A226:E226"/>
    <mergeCell ref="C227:C228"/>
    <mergeCell ref="B224:B225"/>
    <mergeCell ref="C224:C225"/>
    <mergeCell ref="A263:E263"/>
    <mergeCell ref="C254:E254"/>
    <mergeCell ref="A258:E258"/>
    <mergeCell ref="A259:E259"/>
    <mergeCell ref="A260:E260"/>
    <mergeCell ref="A261:E261"/>
    <mergeCell ref="A262:E262"/>
    <mergeCell ref="A253:E253"/>
    <mergeCell ref="A246:H246"/>
    <mergeCell ref="A231:E231"/>
    <mergeCell ref="C232:C234"/>
    <mergeCell ref="A239:E239"/>
    <mergeCell ref="E232:E234"/>
    <mergeCell ref="A238:E238"/>
    <mergeCell ref="A243:E243"/>
    <mergeCell ref="A240:E240"/>
    <mergeCell ref="A245:E245"/>
    <mergeCell ref="A242:E242"/>
    <mergeCell ref="A244:E244"/>
    <mergeCell ref="A21:E21"/>
    <mergeCell ref="B220:B221"/>
    <mergeCell ref="A108:E108"/>
    <mergeCell ref="A175:E175"/>
    <mergeCell ref="E222:E223"/>
    <mergeCell ref="A144:E144"/>
    <mergeCell ref="A178:E178"/>
    <mergeCell ref="A177:E177"/>
    <mergeCell ref="E212:E213"/>
    <mergeCell ref="E220:E221"/>
    <mergeCell ref="A194:E194"/>
    <mergeCell ref="B218:B219"/>
    <mergeCell ref="B212:B213"/>
    <mergeCell ref="B210:B211"/>
    <mergeCell ref="E214:E215"/>
    <mergeCell ref="B222:B223"/>
    <mergeCell ref="H4:H5"/>
    <mergeCell ref="C4:C5"/>
    <mergeCell ref="E4:E5"/>
    <mergeCell ref="A6:H6"/>
    <mergeCell ref="D7:H7"/>
    <mergeCell ref="D4:D5"/>
    <mergeCell ref="F4:F5"/>
    <mergeCell ref="A123:E123"/>
    <mergeCell ref="A176:E176"/>
    <mergeCell ref="E218:E219"/>
    <mergeCell ref="C208:C209"/>
    <mergeCell ref="E208:E209"/>
    <mergeCell ref="C210:C211"/>
    <mergeCell ref="E210:E211"/>
    <mergeCell ref="C218:C219"/>
    <mergeCell ref="C214:C215"/>
    <mergeCell ref="A188:E188"/>
    <mergeCell ref="B189:E189"/>
    <mergeCell ref="A142:E142"/>
    <mergeCell ref="B216:B217"/>
    <mergeCell ref="B214:B215"/>
    <mergeCell ref="A206:E206"/>
    <mergeCell ref="A203:E203"/>
  </mergeCells>
  <phoneticPr fontId="41" type="noConversion"/>
  <printOptions horizontalCentered="1" verticalCentered="1"/>
  <pageMargins left="0.78740157480314965" right="0.78740157480314965" top="0.39370078740157483" bottom="0.39370078740157483" header="0.51181102362204722" footer="0.11811023622047245"/>
  <pageSetup paperSize="9" scale="58" fitToHeight="0" orientation="portrait" r:id="rId1"/>
  <headerFooter alignWithMargins="0"/>
  <rowBreaks count="1" manualBreakCount="1">
    <brk id="202" max="7" man="1"/>
  </rowBreaks>
  <ignoredErrors>
    <ignoredError sqref="H229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topLeftCell="A7" zoomScaleSheetLayoutView="100" workbookViewId="0">
      <selection activeCell="J12" sqref="J12:L12"/>
    </sheetView>
  </sheetViews>
  <sheetFormatPr defaultRowHeight="12.75"/>
  <cols>
    <col min="1" max="1" width="5" customWidth="1"/>
    <col min="2" max="2" width="8.7109375" customWidth="1"/>
    <col min="3" max="3" width="17.5703125" style="14" customWidth="1"/>
    <col min="4" max="4" width="12.140625" style="15" customWidth="1"/>
    <col min="5" max="5" width="11.140625" style="15" customWidth="1"/>
    <col min="6" max="6" width="12" style="15" customWidth="1"/>
    <col min="7" max="7" width="8.85546875" style="15" customWidth="1"/>
    <col min="8" max="8" width="11.7109375" style="15" customWidth="1"/>
    <col min="9" max="9" width="11.85546875" customWidth="1"/>
    <col min="10" max="10" width="10.42578125" customWidth="1"/>
    <col min="11" max="11" width="12.85546875" customWidth="1"/>
    <col min="12" max="12" width="8.85546875" customWidth="1"/>
    <col min="13" max="13" width="8.28515625" customWidth="1"/>
    <col min="14" max="14" width="11.28515625" style="21" customWidth="1"/>
    <col min="16" max="16" width="10.7109375" bestFit="1" customWidth="1"/>
  </cols>
  <sheetData>
    <row r="1" spans="1:17" ht="15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891"/>
      <c r="L1" s="891"/>
      <c r="M1" s="891"/>
      <c r="N1" s="891"/>
    </row>
    <row r="2" spans="1:17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20"/>
    </row>
    <row r="3" spans="1:17" ht="20.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892"/>
      <c r="N3" s="892"/>
      <c r="P3" s="221"/>
    </row>
    <row r="4" spans="1:17" ht="21" customHeight="1">
      <c r="A4" s="865" t="s">
        <v>42</v>
      </c>
      <c r="B4" s="885" t="s">
        <v>207</v>
      </c>
      <c r="C4" s="868" t="s">
        <v>214</v>
      </c>
      <c r="D4" s="871" t="s">
        <v>215</v>
      </c>
      <c r="E4" s="872"/>
      <c r="F4" s="872"/>
      <c r="G4" s="872"/>
      <c r="H4" s="872"/>
      <c r="I4" s="873"/>
      <c r="J4" s="874" t="s">
        <v>216</v>
      </c>
      <c r="K4" s="875"/>
      <c r="L4" s="875"/>
      <c r="M4" s="876"/>
      <c r="N4" s="889" t="s">
        <v>30</v>
      </c>
    </row>
    <row r="5" spans="1:17" s="25" customFormat="1" ht="24" customHeight="1">
      <c r="A5" s="866"/>
      <c r="B5" s="886"/>
      <c r="C5" s="869"/>
      <c r="D5" s="882" t="s">
        <v>180</v>
      </c>
      <c r="E5" s="882" t="s">
        <v>182</v>
      </c>
      <c r="F5" s="882" t="s">
        <v>178</v>
      </c>
      <c r="G5" s="884" t="s">
        <v>243</v>
      </c>
      <c r="H5" s="882" t="s">
        <v>181</v>
      </c>
      <c r="I5" s="882" t="s">
        <v>179</v>
      </c>
      <c r="J5" s="877"/>
      <c r="K5" s="878"/>
      <c r="L5" s="878"/>
      <c r="M5" s="879"/>
      <c r="N5" s="890"/>
    </row>
    <row r="6" spans="1:17" s="25" customFormat="1" ht="38.25" customHeight="1">
      <c r="A6" s="866"/>
      <c r="B6" s="886"/>
      <c r="C6" s="869"/>
      <c r="D6" s="882"/>
      <c r="E6" s="882"/>
      <c r="F6" s="882"/>
      <c r="G6" s="884"/>
      <c r="H6" s="882"/>
      <c r="I6" s="882"/>
      <c r="J6" s="880" t="s">
        <v>199</v>
      </c>
      <c r="K6" s="881"/>
      <c r="L6" s="882" t="s">
        <v>240</v>
      </c>
      <c r="M6" s="883"/>
      <c r="N6" s="890"/>
    </row>
    <row r="7" spans="1:17" s="25" customFormat="1" ht="12.75" customHeight="1">
      <c r="A7" s="866"/>
      <c r="B7" s="886"/>
      <c r="C7" s="869"/>
      <c r="D7" s="882"/>
      <c r="E7" s="882"/>
      <c r="F7" s="882"/>
      <c r="G7" s="884"/>
      <c r="H7" s="882"/>
      <c r="I7" s="882"/>
      <c r="J7" s="882" t="s">
        <v>69</v>
      </c>
      <c r="K7" s="882" t="s">
        <v>28</v>
      </c>
      <c r="L7" s="882" t="s">
        <v>28</v>
      </c>
      <c r="M7" s="882" t="s">
        <v>69</v>
      </c>
      <c r="N7" s="890"/>
    </row>
    <row r="8" spans="1:17" s="25" customFormat="1" ht="15" customHeight="1">
      <c r="A8" s="867"/>
      <c r="B8" s="886"/>
      <c r="C8" s="870"/>
      <c r="D8" s="882"/>
      <c r="E8" s="882"/>
      <c r="F8" s="882"/>
      <c r="G8" s="884"/>
      <c r="H8" s="882"/>
      <c r="I8" s="882"/>
      <c r="J8" s="883"/>
      <c r="K8" s="883"/>
      <c r="L8" s="883"/>
      <c r="M8" s="883"/>
      <c r="N8" s="890"/>
    </row>
    <row r="9" spans="1:17" s="25" customFormat="1" ht="39" customHeight="1">
      <c r="A9" s="269">
        <v>1</v>
      </c>
      <c r="B9" s="237"/>
      <c r="C9" s="238" t="s">
        <v>260</v>
      </c>
      <c r="D9" s="239">
        <f>D10+D11</f>
        <v>960000</v>
      </c>
      <c r="E9" s="226"/>
      <c r="F9" s="239">
        <f>F10+F11</f>
        <v>746480</v>
      </c>
      <c r="G9" s="240">
        <f>'3 bevételek'!G114</f>
        <v>0</v>
      </c>
      <c r="H9" s="226"/>
      <c r="I9" s="226"/>
      <c r="J9" s="227">
        <v>0</v>
      </c>
      <c r="K9" s="241">
        <f>K10+K11</f>
        <v>49560459.240000002</v>
      </c>
      <c r="L9" s="241">
        <f>L10+L11</f>
        <v>187373</v>
      </c>
      <c r="M9" s="227"/>
      <c r="N9" s="242">
        <f>SUM(D9:M9)</f>
        <v>51454312.240000002</v>
      </c>
      <c r="P9" s="281"/>
    </row>
    <row r="10" spans="1:17" s="25" customFormat="1" ht="39" customHeight="1">
      <c r="A10" s="236"/>
      <c r="B10" s="243" t="s">
        <v>72</v>
      </c>
      <c r="C10" s="244" t="s">
        <v>92</v>
      </c>
      <c r="D10" s="245">
        <f>'3 bevételek'!F40+'3 bevételek'!F76</f>
        <v>960000</v>
      </c>
      <c r="E10" s="226"/>
      <c r="F10" s="239">
        <f>'3 bevételek'!F13</f>
        <v>746480</v>
      </c>
      <c r="G10" s="240">
        <f>'3 bevételek'!G115</f>
        <v>0</v>
      </c>
      <c r="H10" s="226"/>
      <c r="I10" s="226"/>
      <c r="J10" s="227"/>
      <c r="K10" s="241">
        <f>'5 kiadások'!Q9-'4 int-i bevételek '!D10-'4 int-i bevételek '!F10-'4 int-i bevételek '!L10</f>
        <v>49560459.240000002</v>
      </c>
      <c r="L10" s="241">
        <f>'3 bevételek'!F130</f>
        <v>187373</v>
      </c>
      <c r="M10" s="227"/>
      <c r="N10" s="242">
        <f>SUM(D10:M10)</f>
        <v>51454312.240000002</v>
      </c>
    </row>
    <row r="11" spans="1:17" s="25" customFormat="1" ht="39" customHeight="1">
      <c r="A11" s="236"/>
      <c r="B11" s="243" t="s">
        <v>73</v>
      </c>
      <c r="C11" s="244" t="s">
        <v>91</v>
      </c>
      <c r="D11" s="246">
        <v>0</v>
      </c>
      <c r="E11" s="226"/>
      <c r="F11" s="226"/>
      <c r="G11" s="240"/>
      <c r="H11" s="226"/>
      <c r="I11" s="226"/>
      <c r="J11" s="227"/>
      <c r="K11" s="241"/>
      <c r="L11" s="227"/>
      <c r="M11" s="227"/>
      <c r="N11" s="242"/>
    </row>
    <row r="12" spans="1:17" ht="40.5" customHeight="1">
      <c r="A12" s="247">
        <v>2</v>
      </c>
      <c r="B12" s="248"/>
      <c r="C12" s="249" t="s">
        <v>234</v>
      </c>
      <c r="D12" s="273">
        <f>D13+D14</f>
        <v>11431000</v>
      </c>
      <c r="E12" s="250">
        <f t="shared" ref="E12:L12" si="0">E13+E14</f>
        <v>0</v>
      </c>
      <c r="F12" s="250">
        <f>F13+F14</f>
        <v>0</v>
      </c>
      <c r="G12" s="250">
        <f t="shared" si="0"/>
        <v>0</v>
      </c>
      <c r="H12" s="250">
        <f t="shared" si="0"/>
        <v>0</v>
      </c>
      <c r="I12" s="250">
        <f t="shared" si="0"/>
        <v>0</v>
      </c>
      <c r="J12" s="250">
        <f>J13+J14</f>
        <v>2000000</v>
      </c>
      <c r="K12" s="250">
        <f>K13+K14-L12</f>
        <v>52977943</v>
      </c>
      <c r="L12" s="250">
        <f t="shared" si="0"/>
        <v>738</v>
      </c>
      <c r="M12" s="250">
        <f>M13+M14</f>
        <v>0</v>
      </c>
      <c r="N12" s="251">
        <f>SUM(D12:M12)</f>
        <v>66409681</v>
      </c>
      <c r="O12" s="887"/>
      <c r="P12" s="888"/>
    </row>
    <row r="13" spans="1:17" s="31" customFormat="1" ht="26.25" customHeight="1">
      <c r="A13" s="93"/>
      <c r="B13" s="235" t="s">
        <v>72</v>
      </c>
      <c r="C13" s="233" t="s">
        <v>92</v>
      </c>
      <c r="D13" s="252">
        <f>'3 bevételek'!F31+'3 bevételek'!F43+'3 bevételek'!F55+'3 bevételek'!F67+'3 bevételek'!F79+'3 bevételek'!F91+'3 bevételek'!F103</f>
        <v>8890500</v>
      </c>
      <c r="E13" s="253"/>
      <c r="F13" s="253"/>
      <c r="G13" s="253"/>
      <c r="H13" s="253">
        <v>0</v>
      </c>
      <c r="I13" s="253"/>
      <c r="J13" s="253">
        <f>'5 kiadások'!M19-'4 int-i bevételek '!G13-'4 int-i bevételek '!I13</f>
        <v>1000000</v>
      </c>
      <c r="K13" s="253">
        <f>'5 kiadások'!L19-'4 int-i bevételek '!D13</f>
        <v>35803567</v>
      </c>
      <c r="L13" s="253">
        <f>'3 bevételek'!F133</f>
        <v>738</v>
      </c>
      <c r="M13" s="253">
        <v>0</v>
      </c>
      <c r="N13" s="251">
        <f t="shared" ref="N13:N14" si="1">SUM(D13:M13)</f>
        <v>45694805</v>
      </c>
      <c r="P13" s="228"/>
    </row>
    <row r="14" spans="1:17" s="31" customFormat="1" ht="24" customHeight="1">
      <c r="A14" s="243"/>
      <c r="B14" s="243" t="s">
        <v>73</v>
      </c>
      <c r="C14" s="244" t="s">
        <v>91</v>
      </c>
      <c r="D14" s="254">
        <f>'3 bevételek'!F32+'3 bevételek'!F44+'3 bevételek'!F56+'3 bevételek'!F68+'3 bevételek'!F80+'3 bevételek'!F92+'3 bevételek'!F104</f>
        <v>2540500</v>
      </c>
      <c r="E14" s="255"/>
      <c r="F14" s="255"/>
      <c r="G14" s="255"/>
      <c r="H14" s="255"/>
      <c r="I14" s="255"/>
      <c r="J14" s="255">
        <f>'5 kiadások'!M20-'4 int-i bevételek '!G14-'4 int-i bevételek '!I14</f>
        <v>1000000</v>
      </c>
      <c r="K14" s="255">
        <f>'5 kiadások'!L20-'4 int-i bevételek '!D14</f>
        <v>17175114</v>
      </c>
      <c r="L14" s="255">
        <v>0</v>
      </c>
      <c r="M14" s="255">
        <v>0</v>
      </c>
      <c r="N14" s="145">
        <f t="shared" si="1"/>
        <v>20715614</v>
      </c>
      <c r="O14" s="229"/>
      <c r="P14" s="228"/>
    </row>
    <row r="15" spans="1:17" ht="27.75" customHeight="1" thickBot="1">
      <c r="A15" s="90">
        <v>3</v>
      </c>
      <c r="B15" s="91" t="s">
        <v>72</v>
      </c>
      <c r="C15" s="92" t="s">
        <v>235</v>
      </c>
      <c r="D15" s="146">
        <f>'3 bevételek'!F93+'3 bevételek'!F105</f>
        <v>3000</v>
      </c>
      <c r="E15" s="146"/>
      <c r="F15" s="146">
        <v>0</v>
      </c>
      <c r="G15" s="146"/>
      <c r="H15" s="146"/>
      <c r="I15" s="146">
        <v>0</v>
      </c>
      <c r="J15" s="146">
        <v>0</v>
      </c>
      <c r="K15" s="146">
        <f>'5 kiadások'!Q27-'4 int-i bevételek '!D15-'4 int-i bevételek '!E15-'4 int-i bevételek '!F15-'4 int-i bevételek '!H15-'4 int-i bevételek '!I15-'4 int-i bevételek '!L15-'4 int-i bevételek '!M15</f>
        <v>49767292</v>
      </c>
      <c r="L15" s="146">
        <f>'3 bevételek'!F136</f>
        <v>14456</v>
      </c>
      <c r="M15" s="144">
        <v>0</v>
      </c>
      <c r="N15" s="145">
        <f>SUM(D15:M15)</f>
        <v>49784748</v>
      </c>
      <c r="O15" s="225"/>
      <c r="P15" s="26"/>
    </row>
    <row r="16" spans="1:17" ht="24" customHeight="1" thickTop="1">
      <c r="A16" s="94"/>
      <c r="B16" s="256"/>
      <c r="C16" s="257" t="s">
        <v>274</v>
      </c>
      <c r="D16" s="258">
        <f>D12+D15+D9</f>
        <v>12394000</v>
      </c>
      <c r="E16" s="258">
        <f t="shared" ref="E16:I16" si="2">E12+E15+E9</f>
        <v>0</v>
      </c>
      <c r="F16" s="258">
        <f t="shared" si="2"/>
        <v>746480</v>
      </c>
      <c r="G16" s="258">
        <f t="shared" si="2"/>
        <v>0</v>
      </c>
      <c r="H16" s="258">
        <f t="shared" si="2"/>
        <v>0</v>
      </c>
      <c r="I16" s="258">
        <f t="shared" si="2"/>
        <v>0</v>
      </c>
      <c r="J16" s="258">
        <f t="shared" ref="J16:M16" si="3">J12+J15</f>
        <v>2000000</v>
      </c>
      <c r="K16" s="258">
        <f>K17+K18</f>
        <v>152306432.24000001</v>
      </c>
      <c r="L16" s="258">
        <f>L17+L18</f>
        <v>202567</v>
      </c>
      <c r="M16" s="259">
        <f t="shared" si="3"/>
        <v>0</v>
      </c>
      <c r="N16" s="260">
        <f>N12+N15+N10</f>
        <v>167648741.24000001</v>
      </c>
      <c r="O16" s="225"/>
      <c r="P16" s="26"/>
      <c r="Q16" s="225"/>
    </row>
    <row r="17" spans="1:16" ht="25.5" customHeight="1">
      <c r="A17" s="95"/>
      <c r="B17" s="91" t="s">
        <v>72</v>
      </c>
      <c r="C17" s="233" t="s">
        <v>92</v>
      </c>
      <c r="D17" s="263">
        <f>D13+D15+D10</f>
        <v>9853500</v>
      </c>
      <c r="E17" s="263">
        <f t="shared" ref="E17:I17" si="4">E13+E15+E10</f>
        <v>0</v>
      </c>
      <c r="F17" s="263">
        <f t="shared" si="4"/>
        <v>746480</v>
      </c>
      <c r="G17" s="263">
        <f t="shared" si="4"/>
        <v>0</v>
      </c>
      <c r="H17" s="263">
        <f t="shared" si="4"/>
        <v>0</v>
      </c>
      <c r="I17" s="263">
        <f t="shared" si="4"/>
        <v>0</v>
      </c>
      <c r="J17" s="263">
        <f t="shared" ref="J17:M17" si="5">J13+J15</f>
        <v>1000000</v>
      </c>
      <c r="K17" s="263">
        <f>K13+K15+K10</f>
        <v>135131318.24000001</v>
      </c>
      <c r="L17" s="264">
        <f>L13+L15+L10</f>
        <v>202567</v>
      </c>
      <c r="M17" s="266">
        <f t="shared" si="5"/>
        <v>0</v>
      </c>
      <c r="N17" s="267">
        <f>N13+N15+N10</f>
        <v>146933865.24000001</v>
      </c>
      <c r="O17" s="272"/>
      <c r="P17" s="272"/>
    </row>
    <row r="18" spans="1:16" ht="26.25" customHeight="1" thickBot="1">
      <c r="A18" s="96"/>
      <c r="B18" s="261" t="s">
        <v>73</v>
      </c>
      <c r="C18" s="262" t="s">
        <v>91</v>
      </c>
      <c r="D18" s="147">
        <f>D14+D11</f>
        <v>2540500</v>
      </c>
      <c r="E18" s="147">
        <f t="shared" ref="E18:I18" si="6">E14+E11+E15</f>
        <v>0</v>
      </c>
      <c r="F18" s="147">
        <f t="shared" si="6"/>
        <v>0</v>
      </c>
      <c r="G18" s="147">
        <f t="shared" si="6"/>
        <v>0</v>
      </c>
      <c r="H18" s="147">
        <f t="shared" si="6"/>
        <v>0</v>
      </c>
      <c r="I18" s="147">
        <f t="shared" si="6"/>
        <v>0</v>
      </c>
      <c r="J18" s="147">
        <f t="shared" ref="J18:M18" si="7">J14</f>
        <v>1000000</v>
      </c>
      <c r="K18" s="263">
        <f>K14+K11</f>
        <v>17175114</v>
      </c>
      <c r="L18" s="265">
        <f t="shared" si="7"/>
        <v>0</v>
      </c>
      <c r="M18" s="148">
        <f t="shared" si="7"/>
        <v>0</v>
      </c>
      <c r="N18" s="268">
        <f>N14</f>
        <v>20715614</v>
      </c>
      <c r="O18" s="26"/>
    </row>
    <row r="19" spans="1:16">
      <c r="C19" s="234"/>
      <c r="D19" s="232"/>
      <c r="K19" s="26"/>
    </row>
    <row r="20" spans="1:16">
      <c r="K20" s="26"/>
    </row>
    <row r="21" spans="1:16">
      <c r="D21" s="32"/>
      <c r="H21" s="32"/>
      <c r="I21" s="26"/>
      <c r="J21" s="114"/>
      <c r="K21" s="26"/>
    </row>
    <row r="22" spans="1:16">
      <c r="D22" s="32"/>
      <c r="E22" s="32"/>
      <c r="F22" s="32"/>
      <c r="G22" s="32"/>
      <c r="H22" s="32"/>
      <c r="I22" s="32"/>
      <c r="J22" s="32"/>
      <c r="K22" s="26"/>
    </row>
    <row r="23" spans="1:16">
      <c r="H23" s="32"/>
      <c r="I23" s="26"/>
      <c r="J23" s="26"/>
      <c r="K23" s="26"/>
      <c r="L23" s="26"/>
    </row>
    <row r="24" spans="1:16">
      <c r="D24" s="32"/>
      <c r="H24" s="32"/>
      <c r="I24" s="26"/>
      <c r="J24" s="26"/>
      <c r="K24" s="26"/>
    </row>
    <row r="25" spans="1:16">
      <c r="D25" s="32"/>
      <c r="I25" s="26"/>
      <c r="J25" s="114"/>
      <c r="K25" s="114"/>
    </row>
    <row r="26" spans="1:16">
      <c r="D26" s="32"/>
      <c r="I26" s="26"/>
      <c r="J26" s="114"/>
      <c r="K26" s="114"/>
    </row>
    <row r="27" spans="1:16">
      <c r="D27" s="32"/>
      <c r="I27" s="26"/>
      <c r="J27" s="26"/>
      <c r="K27" s="26"/>
    </row>
    <row r="28" spans="1:16">
      <c r="I28" s="26"/>
      <c r="J28" s="114"/>
      <c r="K28" s="26"/>
      <c r="M28" s="26"/>
    </row>
    <row r="29" spans="1:16">
      <c r="J29" s="32"/>
      <c r="K29" s="26"/>
      <c r="M29" s="26"/>
    </row>
    <row r="30" spans="1:16">
      <c r="J30" s="26"/>
      <c r="K30" s="26"/>
      <c r="M30" s="26"/>
    </row>
    <row r="31" spans="1:16">
      <c r="J31" s="26"/>
      <c r="K31" s="26"/>
      <c r="M31" s="26"/>
    </row>
    <row r="32" spans="1:16">
      <c r="I32" s="26"/>
      <c r="J32" s="114"/>
      <c r="K32" s="114"/>
    </row>
    <row r="33" spans="9:11">
      <c r="I33" s="32"/>
      <c r="J33" s="32"/>
      <c r="K33" s="26"/>
    </row>
    <row r="34" spans="9:11">
      <c r="I34" s="26"/>
      <c r="J34" s="26"/>
      <c r="K34" s="26"/>
    </row>
    <row r="35" spans="9:11">
      <c r="K35" s="26"/>
    </row>
  </sheetData>
  <mergeCells count="21">
    <mergeCell ref="O12:P12"/>
    <mergeCell ref="N4:N8"/>
    <mergeCell ref="K1:N1"/>
    <mergeCell ref="M7:M8"/>
    <mergeCell ref="L7:L8"/>
    <mergeCell ref="L6:M6"/>
    <mergeCell ref="M3:N3"/>
    <mergeCell ref="K7:K8"/>
    <mergeCell ref="A4:A8"/>
    <mergeCell ref="C4:C8"/>
    <mergeCell ref="D4:I4"/>
    <mergeCell ref="J4:M5"/>
    <mergeCell ref="J6:K6"/>
    <mergeCell ref="J7:J8"/>
    <mergeCell ref="I5:I8"/>
    <mergeCell ref="E5:E8"/>
    <mergeCell ref="D5:D8"/>
    <mergeCell ref="F5:F8"/>
    <mergeCell ref="G5:G8"/>
    <mergeCell ref="H5:H8"/>
    <mergeCell ref="B4:B8"/>
  </mergeCells>
  <phoneticPr fontId="0" type="noConversion"/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14"/>
  <sheetViews>
    <sheetView view="pageBreakPreview" topLeftCell="A2" zoomScaleSheetLayoutView="100" workbookViewId="0">
      <pane xSplit="1" ySplit="6" topLeftCell="C86" activePane="bottomRight" state="frozen"/>
      <selection activeCell="A5" sqref="A5"/>
      <selection pane="topRight" activeCell="B5" sqref="B5"/>
      <selection pane="bottomLeft" activeCell="A8" sqref="A8"/>
      <selection pane="bottomRight" activeCell="S92" sqref="S92"/>
    </sheetView>
  </sheetViews>
  <sheetFormatPr defaultRowHeight="12.75" customHeight="1"/>
  <cols>
    <col min="1" max="1" width="4" style="113" hidden="1" customWidth="1"/>
    <col min="2" max="2" width="3.7109375" style="22" hidden="1" customWidth="1"/>
    <col min="3" max="3" width="5.28515625" style="112" customWidth="1"/>
    <col min="4" max="4" width="30.7109375" style="719" customWidth="1"/>
    <col min="5" max="5" width="9.7109375" style="719" customWidth="1"/>
    <col min="6" max="6" width="8.85546875" style="719" customWidth="1"/>
    <col min="7" max="7" width="11.5703125" style="719" customWidth="1"/>
    <col min="8" max="8" width="9" style="719" customWidth="1"/>
    <col min="9" max="9" width="9.85546875" style="719" customWidth="1"/>
    <col min="10" max="10" width="9.140625" style="719" customWidth="1"/>
    <col min="11" max="11" width="8" style="719" customWidth="1"/>
    <col min="12" max="12" width="12.28515625" style="787" customWidth="1"/>
    <col min="13" max="13" width="12.42578125" style="719" customWidth="1"/>
    <col min="14" max="14" width="8.7109375" style="719" customWidth="1"/>
    <col min="15" max="15" width="9.5703125" style="719" customWidth="1"/>
    <col min="16" max="16" width="6.7109375" style="719" customWidth="1"/>
    <col min="17" max="17" width="9.7109375" style="787" customWidth="1"/>
    <col min="18" max="18" width="6.85546875" style="789" bestFit="1" customWidth="1"/>
    <col min="19" max="19" width="13" style="22" customWidth="1"/>
    <col min="20" max="20" width="10.42578125" style="22" customWidth="1"/>
    <col min="21" max="21" width="12.85546875" style="22" bestFit="1" customWidth="1"/>
    <col min="22" max="22" width="10.42578125" style="22" customWidth="1"/>
    <col min="23" max="23" width="10.42578125" style="22" bestFit="1" customWidth="1"/>
    <col min="24" max="24" width="9.42578125" style="22" bestFit="1" customWidth="1"/>
    <col min="25" max="16384" width="9.140625" style="22"/>
  </cols>
  <sheetData>
    <row r="1" spans="1:18" ht="12.75" hidden="1" customHeight="1">
      <c r="A1" s="127"/>
      <c r="B1" s="128"/>
      <c r="C1" s="671"/>
      <c r="D1" s="672"/>
      <c r="E1" s="672"/>
      <c r="F1" s="672"/>
      <c r="G1" s="672"/>
      <c r="H1" s="672"/>
      <c r="I1" s="672"/>
      <c r="J1" s="672"/>
      <c r="K1" s="672"/>
      <c r="L1" s="673"/>
      <c r="M1" s="674"/>
      <c r="N1" s="918"/>
      <c r="O1" s="918"/>
      <c r="P1" s="918"/>
      <c r="Q1" s="918"/>
      <c r="R1" s="918"/>
    </row>
    <row r="2" spans="1:18" ht="9.75" customHeight="1">
      <c r="A2" s="127"/>
      <c r="B2" s="128"/>
      <c r="C2" s="671"/>
      <c r="D2" s="672"/>
      <c r="E2" s="672"/>
      <c r="F2" s="672"/>
      <c r="G2" s="672"/>
      <c r="H2" s="672"/>
      <c r="I2" s="672"/>
      <c r="J2" s="672"/>
      <c r="K2" s="672"/>
      <c r="L2" s="673"/>
      <c r="M2" s="674"/>
      <c r="N2" s="674"/>
      <c r="O2" s="674"/>
      <c r="P2" s="674"/>
      <c r="Q2" s="673"/>
      <c r="R2" s="675"/>
    </row>
    <row r="3" spans="1:18" ht="18.75" customHeight="1">
      <c r="A3" s="127"/>
      <c r="B3" s="128"/>
      <c r="C3" s="671"/>
      <c r="D3" s="672"/>
      <c r="E3" s="672"/>
      <c r="F3" s="672"/>
      <c r="G3" s="672"/>
      <c r="H3" s="672"/>
      <c r="I3" s="672"/>
      <c r="J3" s="672"/>
      <c r="K3" s="672"/>
      <c r="L3" s="673"/>
      <c r="M3" s="674"/>
      <c r="N3" s="674"/>
      <c r="O3" s="674"/>
      <c r="P3" s="674"/>
      <c r="Q3" s="673"/>
      <c r="R3" s="675"/>
    </row>
    <row r="4" spans="1:18" ht="11.25" customHeight="1" thickBot="1">
      <c r="A4" s="127"/>
      <c r="B4" s="128"/>
      <c r="C4" s="671"/>
      <c r="D4" s="672"/>
      <c r="E4" s="672"/>
      <c r="F4" s="672"/>
      <c r="G4" s="672"/>
      <c r="H4" s="672"/>
      <c r="I4" s="672"/>
      <c r="J4" s="672"/>
      <c r="K4" s="672"/>
      <c r="L4" s="673"/>
      <c r="M4" s="674"/>
      <c r="N4" s="674"/>
      <c r="O4" s="674"/>
      <c r="P4" s="674"/>
      <c r="Q4" s="676"/>
      <c r="R4" s="677"/>
    </row>
    <row r="5" spans="1:18" s="23" customFormat="1" ht="36" customHeight="1">
      <c r="A5" s="939" t="s">
        <v>42</v>
      </c>
      <c r="B5" s="940"/>
      <c r="C5" s="927" t="s">
        <v>208</v>
      </c>
      <c r="D5" s="678" t="s">
        <v>43</v>
      </c>
      <c r="E5" s="678" t="s">
        <v>44</v>
      </c>
      <c r="F5" s="679" t="s">
        <v>80</v>
      </c>
      <c r="G5" s="678" t="s">
        <v>45</v>
      </c>
      <c r="H5" s="679" t="s">
        <v>154</v>
      </c>
      <c r="I5" s="936" t="s">
        <v>66</v>
      </c>
      <c r="J5" s="937"/>
      <c r="K5" s="938"/>
      <c r="L5" s="678" t="s">
        <v>28</v>
      </c>
      <c r="M5" s="678" t="s">
        <v>46</v>
      </c>
      <c r="N5" s="933" t="s">
        <v>41</v>
      </c>
      <c r="O5" s="934"/>
      <c r="P5" s="935"/>
      <c r="Q5" s="678" t="s">
        <v>35</v>
      </c>
      <c r="R5" s="680" t="s">
        <v>47</v>
      </c>
    </row>
    <row r="6" spans="1:18" s="23" customFormat="1" ht="37.5" customHeight="1">
      <c r="A6" s="925" t="s">
        <v>48</v>
      </c>
      <c r="B6" s="926"/>
      <c r="C6" s="928"/>
      <c r="D6" s="681" t="s">
        <v>49</v>
      </c>
      <c r="E6" s="681" t="s">
        <v>67</v>
      </c>
      <c r="F6" s="682" t="s">
        <v>81</v>
      </c>
      <c r="G6" s="681" t="s">
        <v>50</v>
      </c>
      <c r="H6" s="682" t="s">
        <v>155</v>
      </c>
      <c r="I6" s="893" t="s">
        <v>193</v>
      </c>
      <c r="J6" s="943" t="s">
        <v>194</v>
      </c>
      <c r="K6" s="943" t="s">
        <v>195</v>
      </c>
      <c r="L6" s="681" t="s">
        <v>51</v>
      </c>
      <c r="M6" s="681" t="s">
        <v>52</v>
      </c>
      <c r="N6" s="893" t="s">
        <v>193</v>
      </c>
      <c r="O6" s="943" t="s">
        <v>194</v>
      </c>
      <c r="P6" s="943" t="s">
        <v>195</v>
      </c>
      <c r="Q6" s="681" t="s">
        <v>14</v>
      </c>
      <c r="R6" s="683" t="s">
        <v>53</v>
      </c>
    </row>
    <row r="7" spans="1:18" s="23" customFormat="1" ht="36.75" customHeight="1" thickBot="1">
      <c r="A7" s="941" t="s">
        <v>54</v>
      </c>
      <c r="B7" s="942"/>
      <c r="C7" s="929"/>
      <c r="D7" s="684"/>
      <c r="E7" s="684"/>
      <c r="F7" s="685" t="s">
        <v>82</v>
      </c>
      <c r="G7" s="684" t="s">
        <v>59</v>
      </c>
      <c r="H7" s="685" t="s">
        <v>156</v>
      </c>
      <c r="I7" s="894"/>
      <c r="J7" s="944"/>
      <c r="K7" s="894"/>
      <c r="L7" s="684" t="s">
        <v>14</v>
      </c>
      <c r="M7" s="684" t="s">
        <v>55</v>
      </c>
      <c r="N7" s="894"/>
      <c r="O7" s="944"/>
      <c r="P7" s="894"/>
      <c r="Q7" s="684"/>
      <c r="R7" s="686"/>
    </row>
    <row r="8" spans="1:18" s="23" customFormat="1" ht="11.25" thickBot="1">
      <c r="A8" s="470" t="s">
        <v>15</v>
      </c>
      <c r="B8" s="471"/>
      <c r="C8" s="362"/>
      <c r="D8" s="472" t="s">
        <v>260</v>
      </c>
      <c r="E8" s="473">
        <f>E9+E10</f>
        <v>33405092</v>
      </c>
      <c r="F8" s="473">
        <f t="shared" ref="F8:K8" si="0">F9+F10</f>
        <v>7351674.2400000002</v>
      </c>
      <c r="G8" s="473">
        <f t="shared" si="0"/>
        <v>8010546</v>
      </c>
      <c r="H8" s="473">
        <f t="shared" si="0"/>
        <v>1819000</v>
      </c>
      <c r="I8" s="473">
        <f t="shared" si="0"/>
        <v>0</v>
      </c>
      <c r="J8" s="473">
        <f t="shared" si="0"/>
        <v>0</v>
      </c>
      <c r="K8" s="473">
        <f t="shared" si="0"/>
        <v>0</v>
      </c>
      <c r="L8" s="473">
        <f>SUM(E8:K8)</f>
        <v>50586312.240000002</v>
      </c>
      <c r="M8" s="473">
        <f>M9+M10</f>
        <v>868000</v>
      </c>
      <c r="N8" s="474">
        <f>N9+N10</f>
        <v>0</v>
      </c>
      <c r="O8" s="474">
        <f t="shared" ref="O8:P8" si="1">O9+O10</f>
        <v>0</v>
      </c>
      <c r="P8" s="474">
        <f t="shared" si="1"/>
        <v>0</v>
      </c>
      <c r="Q8" s="473">
        <f>Q9+Q10</f>
        <v>51454312.240000002</v>
      </c>
      <c r="R8" s="475">
        <f>R9+R10</f>
        <v>9.5</v>
      </c>
    </row>
    <row r="9" spans="1:18" s="23" customFormat="1" ht="10.5" customHeight="1" thickBot="1">
      <c r="A9" s="476"/>
      <c r="B9" s="471"/>
      <c r="C9" s="363"/>
      <c r="D9" s="477" t="s">
        <v>83</v>
      </c>
      <c r="E9" s="478">
        <f>E12+E14+E15</f>
        <v>33405092</v>
      </c>
      <c r="F9" s="478">
        <f t="shared" ref="F9:G9" si="2">F12+F14+F15</f>
        <v>7351674.2400000002</v>
      </c>
      <c r="G9" s="478">
        <f t="shared" si="2"/>
        <v>8010546</v>
      </c>
      <c r="H9" s="478">
        <f>H16</f>
        <v>1819000</v>
      </c>
      <c r="I9" s="478"/>
      <c r="J9" s="478"/>
      <c r="K9" s="478"/>
      <c r="L9" s="473">
        <f t="shared" ref="L9:L17" si="3">SUM(E9:K9)</f>
        <v>50586312.240000002</v>
      </c>
      <c r="M9" s="478">
        <f>M14+M12</f>
        <v>868000</v>
      </c>
      <c r="N9" s="479">
        <f>N12</f>
        <v>0</v>
      </c>
      <c r="O9" s="480">
        <f>O11</f>
        <v>0</v>
      </c>
      <c r="P9" s="479"/>
      <c r="Q9" s="473">
        <f>SUM(L9:P9)</f>
        <v>51454312.240000002</v>
      </c>
      <c r="R9" s="481">
        <f>R11+R14</f>
        <v>9.5</v>
      </c>
    </row>
    <row r="10" spans="1:18" s="23" customFormat="1" ht="11.25" customHeight="1" thickBot="1">
      <c r="A10" s="482"/>
      <c r="B10" s="483"/>
      <c r="C10" s="362"/>
      <c r="D10" s="484" t="s">
        <v>84</v>
      </c>
      <c r="E10" s="473"/>
      <c r="F10" s="473"/>
      <c r="G10" s="473">
        <f>G13</f>
        <v>0</v>
      </c>
      <c r="H10" s="473"/>
      <c r="I10" s="473"/>
      <c r="J10" s="473"/>
      <c r="K10" s="473"/>
      <c r="L10" s="473">
        <f t="shared" si="3"/>
        <v>0</v>
      </c>
      <c r="M10" s="473">
        <f>M13</f>
        <v>0</v>
      </c>
      <c r="N10" s="474">
        <f>N13</f>
        <v>0</v>
      </c>
      <c r="O10" s="485"/>
      <c r="P10" s="474"/>
      <c r="Q10" s="473">
        <f t="shared" ref="Q10:Q17" si="4">SUM(L10:P10)</f>
        <v>0</v>
      </c>
      <c r="R10" s="486"/>
    </row>
    <row r="11" spans="1:18" s="23" customFormat="1" ht="11.25">
      <c r="A11" s="487"/>
      <c r="B11" s="488">
        <v>1.1000000000000001</v>
      </c>
      <c r="C11" s="355"/>
      <c r="D11" s="489" t="s">
        <v>63</v>
      </c>
      <c r="E11" s="490">
        <f>E12+E13</f>
        <v>29572283</v>
      </c>
      <c r="F11" s="491">
        <f>F12+F13</f>
        <v>6505902.2599999998</v>
      </c>
      <c r="G11" s="490">
        <f>G12+G13</f>
        <v>7912000</v>
      </c>
      <c r="H11" s="491"/>
      <c r="I11" s="491"/>
      <c r="J11" s="492"/>
      <c r="K11" s="491"/>
      <c r="L11" s="490">
        <f>SUM(E11:K11)</f>
        <v>43990185.259999998</v>
      </c>
      <c r="M11" s="490">
        <f>M12+M13</f>
        <v>868000</v>
      </c>
      <c r="N11" s="491">
        <f>N12+N13+N14</f>
        <v>0</v>
      </c>
      <c r="O11" s="492">
        <f>O12</f>
        <v>0</v>
      </c>
      <c r="P11" s="491"/>
      <c r="Q11" s="490">
        <f>SUM(L11:P11)</f>
        <v>44858185.259999998</v>
      </c>
      <c r="R11" s="493">
        <v>8.5</v>
      </c>
    </row>
    <row r="12" spans="1:18" s="23" customFormat="1" ht="11.25">
      <c r="A12" s="494"/>
      <c r="B12" s="495"/>
      <c r="C12" s="356"/>
      <c r="D12" s="496" t="s">
        <v>83</v>
      </c>
      <c r="E12" s="497">
        <f>29572283</f>
        <v>29572283</v>
      </c>
      <c r="F12" s="498">
        <f>E12*22%</f>
        <v>6505902.2599999998</v>
      </c>
      <c r="G12" s="499">
        <v>7912000</v>
      </c>
      <c r="H12" s="500"/>
      <c r="I12" s="500"/>
      <c r="J12" s="501"/>
      <c r="K12" s="500"/>
      <c r="L12" s="502">
        <f t="shared" si="3"/>
        <v>43990185.259999998</v>
      </c>
      <c r="M12" s="503">
        <f>'6 beruházások'!D25</f>
        <v>868000</v>
      </c>
      <c r="N12" s="504"/>
      <c r="O12" s="505">
        <v>0</v>
      </c>
      <c r="P12" s="504"/>
      <c r="Q12" s="502">
        <f t="shared" si="4"/>
        <v>44858185.259999998</v>
      </c>
      <c r="R12" s="327"/>
    </row>
    <row r="13" spans="1:18" s="23" customFormat="1" ht="11.25">
      <c r="A13" s="494"/>
      <c r="B13" s="495"/>
      <c r="C13" s="357"/>
      <c r="D13" s="506" t="s">
        <v>84</v>
      </c>
      <c r="E13" s="502"/>
      <c r="F13" s="504"/>
      <c r="G13" s="502"/>
      <c r="H13" s="504"/>
      <c r="I13" s="504"/>
      <c r="J13" s="505"/>
      <c r="K13" s="504"/>
      <c r="L13" s="502">
        <f t="shared" si="3"/>
        <v>0</v>
      </c>
      <c r="M13" s="502"/>
      <c r="N13" s="504"/>
      <c r="O13" s="505"/>
      <c r="P13" s="504"/>
      <c r="Q13" s="502">
        <f t="shared" si="4"/>
        <v>0</v>
      </c>
      <c r="R13" s="507"/>
    </row>
    <row r="14" spans="1:18" s="23" customFormat="1" ht="11.25">
      <c r="A14" s="494"/>
      <c r="B14" s="495">
        <v>2</v>
      </c>
      <c r="C14" s="358" t="s">
        <v>72</v>
      </c>
      <c r="D14" s="508" t="s">
        <v>64</v>
      </c>
      <c r="E14" s="509">
        <f>261900*12+149009+12000</f>
        <v>3303809</v>
      </c>
      <c r="F14" s="510">
        <f>E14*22%</f>
        <v>726837.98</v>
      </c>
      <c r="G14" s="511"/>
      <c r="H14" s="512"/>
      <c r="I14" s="512"/>
      <c r="J14" s="513"/>
      <c r="K14" s="512"/>
      <c r="L14" s="502">
        <f t="shared" si="3"/>
        <v>4030646.98</v>
      </c>
      <c r="M14" s="502"/>
      <c r="N14" s="504"/>
      <c r="O14" s="505"/>
      <c r="P14" s="504"/>
      <c r="Q14" s="502">
        <f t="shared" si="4"/>
        <v>4030646.98</v>
      </c>
      <c r="R14" s="514">
        <v>1</v>
      </c>
    </row>
    <row r="15" spans="1:18" s="23" customFormat="1" ht="11.25">
      <c r="A15" s="494"/>
      <c r="B15" s="495"/>
      <c r="C15" s="358" t="s">
        <v>72</v>
      </c>
      <c r="D15" s="515" t="s">
        <v>336</v>
      </c>
      <c r="E15" s="516">
        <v>529000</v>
      </c>
      <c r="F15" s="517">
        <v>118934</v>
      </c>
      <c r="G15" s="502">
        <v>98546</v>
      </c>
      <c r="H15" s="504"/>
      <c r="I15" s="504"/>
      <c r="J15" s="505"/>
      <c r="K15" s="504"/>
      <c r="L15" s="502">
        <f t="shared" si="3"/>
        <v>746480</v>
      </c>
      <c r="M15" s="502"/>
      <c r="N15" s="504"/>
      <c r="O15" s="505"/>
      <c r="P15" s="504"/>
      <c r="Q15" s="502"/>
      <c r="R15" s="507"/>
    </row>
    <row r="16" spans="1:18" s="23" customFormat="1" ht="21">
      <c r="A16" s="494"/>
      <c r="B16" s="495"/>
      <c r="C16" s="357"/>
      <c r="D16" s="518" t="s">
        <v>100</v>
      </c>
      <c r="E16" s="502"/>
      <c r="F16" s="504"/>
      <c r="G16" s="502"/>
      <c r="H16" s="504">
        <f>H17</f>
        <v>1819000</v>
      </c>
      <c r="I16" s="504"/>
      <c r="J16" s="505"/>
      <c r="K16" s="504"/>
      <c r="L16" s="502">
        <f t="shared" si="3"/>
        <v>1819000</v>
      </c>
      <c r="M16" s="502"/>
      <c r="N16" s="504"/>
      <c r="O16" s="505"/>
      <c r="P16" s="504"/>
      <c r="Q16" s="502">
        <f t="shared" si="4"/>
        <v>1819000</v>
      </c>
      <c r="R16" s="519"/>
    </row>
    <row r="17" spans="1:18" s="23" customFormat="1" ht="12" thickBot="1">
      <c r="A17" s="520"/>
      <c r="B17" s="521">
        <v>3</v>
      </c>
      <c r="C17" s="356" t="s">
        <v>72</v>
      </c>
      <c r="D17" s="522" t="s">
        <v>103</v>
      </c>
      <c r="E17" s="502"/>
      <c r="F17" s="504"/>
      <c r="G17" s="502"/>
      <c r="H17" s="523">
        <f>'3 bevételek'!F180</f>
        <v>1819000</v>
      </c>
      <c r="I17" s="504"/>
      <c r="J17" s="505"/>
      <c r="K17" s="504"/>
      <c r="L17" s="524">
        <f t="shared" si="3"/>
        <v>1819000</v>
      </c>
      <c r="M17" s="511"/>
      <c r="N17" s="512"/>
      <c r="O17" s="513"/>
      <c r="P17" s="512"/>
      <c r="Q17" s="524">
        <f t="shared" si="4"/>
        <v>1819000</v>
      </c>
      <c r="R17" s="525"/>
    </row>
    <row r="18" spans="1:18" ht="21.75" thickBot="1">
      <c r="A18" s="285" t="s">
        <v>16</v>
      </c>
      <c r="B18" s="286"/>
      <c r="C18" s="367"/>
      <c r="D18" s="528" t="s">
        <v>234</v>
      </c>
      <c r="E18" s="529">
        <f>E19+E20</f>
        <v>26626564</v>
      </c>
      <c r="F18" s="529">
        <f t="shared" ref="F18:G18" si="5">F19+F20</f>
        <v>5418249</v>
      </c>
      <c r="G18" s="529">
        <f t="shared" si="5"/>
        <v>32364868</v>
      </c>
      <c r="H18" s="529">
        <f t="shared" ref="H18:K18" si="6">H19+H20</f>
        <v>0</v>
      </c>
      <c r="I18" s="529">
        <f t="shared" si="6"/>
        <v>0</v>
      </c>
      <c r="J18" s="529">
        <f t="shared" si="6"/>
        <v>0</v>
      </c>
      <c r="K18" s="529">
        <f t="shared" si="6"/>
        <v>0</v>
      </c>
      <c r="L18" s="530">
        <f t="shared" ref="L18" si="7">SUM(E18:K18)</f>
        <v>64409681</v>
      </c>
      <c r="M18" s="530">
        <f>M19+M20</f>
        <v>2000000</v>
      </c>
      <c r="N18" s="530">
        <f t="shared" ref="N18:P18" si="8">N19+N20</f>
        <v>0</v>
      </c>
      <c r="O18" s="530">
        <f t="shared" si="8"/>
        <v>0</v>
      </c>
      <c r="P18" s="530">
        <f t="shared" si="8"/>
        <v>0</v>
      </c>
      <c r="Q18" s="529">
        <f>SUM(L18:P18)</f>
        <v>66409681</v>
      </c>
      <c r="R18" s="531">
        <f>R19+R20</f>
        <v>10</v>
      </c>
    </row>
    <row r="19" spans="1:18" ht="13.5" thickBot="1">
      <c r="A19" s="287"/>
      <c r="B19" s="286"/>
      <c r="C19" s="368" t="s">
        <v>72</v>
      </c>
      <c r="D19" s="532" t="s">
        <v>83</v>
      </c>
      <c r="E19" s="529">
        <f>E22+E25</f>
        <v>12928696</v>
      </c>
      <c r="F19" s="529">
        <v>2446473</v>
      </c>
      <c r="G19" s="529">
        <f>G22+G25</f>
        <v>29318898</v>
      </c>
      <c r="H19" s="529"/>
      <c r="I19" s="529"/>
      <c r="J19" s="529"/>
      <c r="K19" s="529"/>
      <c r="L19" s="529">
        <f>SUM(E19:K19)</f>
        <v>44694067</v>
      </c>
      <c r="M19" s="530">
        <f>M22+M25</f>
        <v>1000000</v>
      </c>
      <c r="N19" s="530"/>
      <c r="O19" s="530"/>
      <c r="P19" s="530"/>
      <c r="Q19" s="529">
        <f>SUM(L19:P19)</f>
        <v>45694067</v>
      </c>
      <c r="R19" s="531">
        <f>R22+R25</f>
        <v>6.75</v>
      </c>
    </row>
    <row r="20" spans="1:18" ht="13.5" thickBot="1">
      <c r="A20" s="285"/>
      <c r="B20" s="288"/>
      <c r="C20" s="399" t="s">
        <v>73</v>
      </c>
      <c r="D20" s="533" t="s">
        <v>84</v>
      </c>
      <c r="E20" s="534">
        <f>E23+E26</f>
        <v>13697868</v>
      </c>
      <c r="F20" s="534">
        <v>2971776</v>
      </c>
      <c r="G20" s="534">
        <f>G26+G23</f>
        <v>3045970</v>
      </c>
      <c r="H20" s="534"/>
      <c r="I20" s="534"/>
      <c r="J20" s="534"/>
      <c r="K20" s="534"/>
      <c r="L20" s="529">
        <f>SUM(E20:K20)</f>
        <v>19715614</v>
      </c>
      <c r="M20" s="530">
        <f>M23+M26</f>
        <v>1000000</v>
      </c>
      <c r="N20" s="530"/>
      <c r="O20" s="530"/>
      <c r="P20" s="530"/>
      <c r="Q20" s="529">
        <f t="shared" ref="Q20" si="9">SUM(L20:P20)</f>
        <v>20715614</v>
      </c>
      <c r="R20" s="531">
        <f>R23+R26</f>
        <v>3.25</v>
      </c>
    </row>
    <row r="21" spans="1:18" ht="13.5" thickBot="1">
      <c r="A21" s="365"/>
      <c r="B21" s="366"/>
      <c r="C21" s="398"/>
      <c r="D21" s="535" t="s">
        <v>330</v>
      </c>
      <c r="E21" s="536">
        <f>E22+E23</f>
        <v>17962419</v>
      </c>
      <c r="F21" s="536">
        <f t="shared" ref="F21:K21" si="10">F22+F23</f>
        <v>3951732.18</v>
      </c>
      <c r="G21" s="536">
        <f t="shared" si="10"/>
        <v>7305808</v>
      </c>
      <c r="H21" s="536">
        <f t="shared" si="10"/>
        <v>0</v>
      </c>
      <c r="I21" s="536">
        <f t="shared" si="10"/>
        <v>0</v>
      </c>
      <c r="J21" s="536">
        <f t="shared" si="10"/>
        <v>0</v>
      </c>
      <c r="K21" s="536">
        <f t="shared" si="10"/>
        <v>0</v>
      </c>
      <c r="L21" s="536">
        <f>SUM(E21:K21)</f>
        <v>29219959.18</v>
      </c>
      <c r="M21" s="537">
        <f>M22+M23</f>
        <v>1000000</v>
      </c>
      <c r="N21" s="537"/>
      <c r="O21" s="537"/>
      <c r="P21" s="537"/>
      <c r="Q21" s="536"/>
      <c r="R21" s="538"/>
    </row>
    <row r="22" spans="1:18" ht="13.5" thickBot="1">
      <c r="A22" s="365"/>
      <c r="B22" s="366"/>
      <c r="C22" s="369" t="s">
        <v>72</v>
      </c>
      <c r="D22" s="539" t="s">
        <v>83</v>
      </c>
      <c r="E22" s="540">
        <f>8308796-30000</f>
        <v>8278796</v>
      </c>
      <c r="F22" s="540">
        <f>E22*22%</f>
        <v>1821335.12</v>
      </c>
      <c r="G22" s="540">
        <f>5942969+156011+401579-M22</f>
        <v>6000559</v>
      </c>
      <c r="H22" s="540"/>
      <c r="I22" s="540"/>
      <c r="J22" s="540"/>
      <c r="K22" s="540"/>
      <c r="L22" s="540">
        <f t="shared" ref="L22:L26" si="11">SUM(E22:K22)</f>
        <v>16100690.120000001</v>
      </c>
      <c r="M22" s="541">
        <v>500000</v>
      </c>
      <c r="N22" s="541"/>
      <c r="O22" s="541"/>
      <c r="P22" s="541"/>
      <c r="Q22" s="540"/>
      <c r="R22" s="542">
        <v>3.25</v>
      </c>
    </row>
    <row r="23" spans="1:18" ht="13.5" thickBot="1">
      <c r="A23" s="365"/>
      <c r="B23" s="366"/>
      <c r="C23" s="369" t="s">
        <v>73</v>
      </c>
      <c r="D23" s="543" t="s">
        <v>84</v>
      </c>
      <c r="E23" s="540">
        <f>9622995+60628</f>
        <v>9683623</v>
      </c>
      <c r="F23" s="540">
        <f>E23*22%</f>
        <v>2130397.06</v>
      </c>
      <c r="G23" s="540">
        <f>220106+585143+1000000-M23</f>
        <v>1305249</v>
      </c>
      <c r="H23" s="540"/>
      <c r="I23" s="540"/>
      <c r="J23" s="540"/>
      <c r="K23" s="540"/>
      <c r="L23" s="540">
        <f t="shared" si="11"/>
        <v>13119269.060000001</v>
      </c>
      <c r="M23" s="541">
        <v>500000</v>
      </c>
      <c r="N23" s="541"/>
      <c r="O23" s="541"/>
      <c r="P23" s="541"/>
      <c r="Q23" s="540"/>
      <c r="R23" s="542">
        <v>3</v>
      </c>
    </row>
    <row r="24" spans="1:18" ht="13.5" thickBot="1">
      <c r="A24" s="365"/>
      <c r="B24" s="366"/>
      <c r="C24" s="369"/>
      <c r="D24" s="544" t="s">
        <v>259</v>
      </c>
      <c r="E24" s="540">
        <f>E25+E26</f>
        <v>8664145</v>
      </c>
      <c r="F24" s="540">
        <f t="shared" ref="F24:K24" si="12">F25+F26</f>
        <v>1906111.9</v>
      </c>
      <c r="G24" s="540">
        <f t="shared" si="12"/>
        <v>25059060</v>
      </c>
      <c r="H24" s="540">
        <f t="shared" si="12"/>
        <v>0</v>
      </c>
      <c r="I24" s="540">
        <f t="shared" si="12"/>
        <v>0</v>
      </c>
      <c r="J24" s="540">
        <f t="shared" si="12"/>
        <v>0</v>
      </c>
      <c r="K24" s="540">
        <f t="shared" si="12"/>
        <v>0</v>
      </c>
      <c r="L24" s="540">
        <f t="shared" si="11"/>
        <v>35629316.899999999</v>
      </c>
      <c r="M24" s="541">
        <f>M25+M26</f>
        <v>1000000</v>
      </c>
      <c r="N24" s="541"/>
      <c r="O24" s="541"/>
      <c r="P24" s="541"/>
      <c r="Q24" s="540"/>
      <c r="R24" s="542"/>
    </row>
    <row r="25" spans="1:18" ht="13.5" thickBot="1">
      <c r="A25" s="365"/>
      <c r="B25" s="366"/>
      <c r="C25" s="369" t="s">
        <v>72</v>
      </c>
      <c r="D25" s="539" t="s">
        <v>83</v>
      </c>
      <c r="E25" s="540">
        <v>4649900</v>
      </c>
      <c r="F25" s="540">
        <f>E25*22%</f>
        <v>1022978</v>
      </c>
      <c r="G25" s="540">
        <f>23563471-342000-1140+98008</f>
        <v>23318339</v>
      </c>
      <c r="H25" s="540"/>
      <c r="I25" s="540"/>
      <c r="J25" s="540"/>
      <c r="K25" s="540"/>
      <c r="L25" s="540">
        <f t="shared" si="11"/>
        <v>28991217</v>
      </c>
      <c r="M25" s="541">
        <v>500000</v>
      </c>
      <c r="N25" s="541"/>
      <c r="O25" s="541"/>
      <c r="P25" s="541"/>
      <c r="Q25" s="540"/>
      <c r="R25" s="542">
        <v>3.5</v>
      </c>
    </row>
    <row r="26" spans="1:18" ht="13.5" thickBot="1">
      <c r="A26" s="365"/>
      <c r="B26" s="366"/>
      <c r="C26" s="369" t="s">
        <v>73</v>
      </c>
      <c r="D26" s="543" t="s">
        <v>84</v>
      </c>
      <c r="E26" s="540">
        <f>4112253-98008</f>
        <v>4014245</v>
      </c>
      <c r="F26" s="540">
        <f>E26*22%</f>
        <v>883133.9</v>
      </c>
      <c r="G26" s="540">
        <f>1240721+1000000-M26</f>
        <v>1740721</v>
      </c>
      <c r="H26" s="540"/>
      <c r="I26" s="540"/>
      <c r="J26" s="540"/>
      <c r="K26" s="540"/>
      <c r="L26" s="540">
        <f t="shared" si="11"/>
        <v>6638099.9000000004</v>
      </c>
      <c r="M26" s="541">
        <v>500000</v>
      </c>
      <c r="N26" s="541"/>
      <c r="O26" s="541"/>
      <c r="P26" s="541"/>
      <c r="Q26" s="540"/>
      <c r="R26" s="542">
        <v>0.25</v>
      </c>
    </row>
    <row r="27" spans="1:18" ht="11.25" customHeight="1" thickBot="1">
      <c r="A27" s="545" t="s">
        <v>17</v>
      </c>
      <c r="B27" s="546"/>
      <c r="C27" s="364"/>
      <c r="D27" s="547" t="s">
        <v>235</v>
      </c>
      <c r="E27" s="548">
        <f>E28+E29</f>
        <v>38206997</v>
      </c>
      <c r="F27" s="548">
        <f t="shared" ref="F27:K27" si="13">F28+F29</f>
        <v>7338751</v>
      </c>
      <c r="G27" s="548">
        <f>G28+G29</f>
        <v>3739000</v>
      </c>
      <c r="H27" s="548">
        <f t="shared" si="13"/>
        <v>0</v>
      </c>
      <c r="I27" s="548">
        <f t="shared" si="13"/>
        <v>0</v>
      </c>
      <c r="J27" s="548">
        <f t="shared" si="13"/>
        <v>0</v>
      </c>
      <c r="K27" s="548">
        <f t="shared" si="13"/>
        <v>0</v>
      </c>
      <c r="L27" s="548">
        <f>SUM(E27:K27)</f>
        <v>49284748</v>
      </c>
      <c r="M27" s="548">
        <f>M28+M29</f>
        <v>500000</v>
      </c>
      <c r="N27" s="548">
        <f t="shared" ref="N27:P27" si="14">N28+N29</f>
        <v>0</v>
      </c>
      <c r="O27" s="548">
        <f t="shared" si="14"/>
        <v>0</v>
      </c>
      <c r="P27" s="548">
        <f t="shared" si="14"/>
        <v>0</v>
      </c>
      <c r="Q27" s="549">
        <f>SUM(L27:P27)</f>
        <v>49784748</v>
      </c>
      <c r="R27" s="475">
        <v>14</v>
      </c>
    </row>
    <row r="28" spans="1:18" ht="11.25" customHeight="1" thickBot="1">
      <c r="A28" s="550"/>
      <c r="B28" s="551"/>
      <c r="C28" s="306" t="s">
        <v>72</v>
      </c>
      <c r="D28" s="552" t="s">
        <v>83</v>
      </c>
      <c r="E28" s="553">
        <f>37534997+672000</f>
        <v>38206997</v>
      </c>
      <c r="F28" s="553">
        <f>7190911+147840</f>
        <v>7338751</v>
      </c>
      <c r="G28" s="554">
        <f>2730992+3000+1005008</f>
        <v>3739000</v>
      </c>
      <c r="H28" s="554"/>
      <c r="I28" s="553"/>
      <c r="J28" s="553"/>
      <c r="K28" s="553">
        <v>0</v>
      </c>
      <c r="L28" s="555">
        <f t="shared" ref="L28:L29" si="15">SUM(E28:K28)</f>
        <v>49284748</v>
      </c>
      <c r="M28" s="553">
        <v>500000</v>
      </c>
      <c r="N28" s="553"/>
      <c r="O28" s="553"/>
      <c r="P28" s="553"/>
      <c r="Q28" s="556">
        <f t="shared" ref="Q28:Q29" si="16">SUM(L28:P28)</f>
        <v>49784748</v>
      </c>
      <c r="R28" s="557">
        <v>14</v>
      </c>
    </row>
    <row r="29" spans="1:18" ht="11.25" customHeight="1" thickBot="1">
      <c r="A29" s="558"/>
      <c r="B29" s="559"/>
      <c r="C29" s="307" t="s">
        <v>73</v>
      </c>
      <c r="D29" s="560" t="s">
        <v>84</v>
      </c>
      <c r="E29" s="555">
        <v>0</v>
      </c>
      <c r="F29" s="555">
        <v>0</v>
      </c>
      <c r="G29" s="556">
        <v>0</v>
      </c>
      <c r="H29" s="556"/>
      <c r="I29" s="555"/>
      <c r="J29" s="555"/>
      <c r="K29" s="555"/>
      <c r="L29" s="555">
        <f t="shared" si="15"/>
        <v>0</v>
      </c>
      <c r="M29" s="555"/>
      <c r="N29" s="555"/>
      <c r="O29" s="555"/>
      <c r="P29" s="555"/>
      <c r="Q29" s="556">
        <f t="shared" si="16"/>
        <v>0</v>
      </c>
      <c r="R29" s="481">
        <v>0</v>
      </c>
    </row>
    <row r="30" spans="1:18" ht="12.75" customHeight="1" thickBot="1">
      <c r="A30" s="930" t="s">
        <v>265</v>
      </c>
      <c r="B30" s="931"/>
      <c r="C30" s="931"/>
      <c r="D30" s="932"/>
      <c r="E30" s="561">
        <f>SUM(E31:E33)</f>
        <v>98238653</v>
      </c>
      <c r="F30" s="561">
        <f t="shared" ref="F30:K30" si="17">SUM(F31:F33)</f>
        <v>20108674.240000002</v>
      </c>
      <c r="G30" s="561">
        <f t="shared" si="17"/>
        <v>44114414</v>
      </c>
      <c r="H30" s="561">
        <f t="shared" si="17"/>
        <v>1819000</v>
      </c>
      <c r="I30" s="561">
        <f t="shared" si="17"/>
        <v>0</v>
      </c>
      <c r="J30" s="561">
        <f t="shared" si="17"/>
        <v>0</v>
      </c>
      <c r="K30" s="561">
        <f t="shared" si="17"/>
        <v>0</v>
      </c>
      <c r="L30" s="562">
        <f>SUM(E30:K30)</f>
        <v>164280741.24000001</v>
      </c>
      <c r="M30" s="561">
        <f>M31+M32+M33</f>
        <v>3368000</v>
      </c>
      <c r="N30" s="561">
        <f>N31+N32</f>
        <v>0</v>
      </c>
      <c r="O30" s="561">
        <f>O18+O27</f>
        <v>0</v>
      </c>
      <c r="P30" s="561">
        <f>P18+P27</f>
        <v>0</v>
      </c>
      <c r="Q30" s="561">
        <f>Q18+Q27+Q8</f>
        <v>167648741.24000001</v>
      </c>
      <c r="R30" s="563">
        <f>R31+R33</f>
        <v>33.5</v>
      </c>
    </row>
    <row r="31" spans="1:18" s="27" customFormat="1" ht="12.75" customHeight="1" thickBot="1">
      <c r="A31" s="919" t="s">
        <v>83</v>
      </c>
      <c r="B31" s="920"/>
      <c r="C31" s="920"/>
      <c r="D31" s="921"/>
      <c r="E31" s="564">
        <f t="shared" ref="E31:K31" si="18">E19+E9+E28</f>
        <v>84540785</v>
      </c>
      <c r="F31" s="564">
        <f t="shared" si="18"/>
        <v>17136898.240000002</v>
      </c>
      <c r="G31" s="564">
        <f t="shared" si="18"/>
        <v>41068444</v>
      </c>
      <c r="H31" s="564">
        <f t="shared" si="18"/>
        <v>1819000</v>
      </c>
      <c r="I31" s="564">
        <f t="shared" si="18"/>
        <v>0</v>
      </c>
      <c r="J31" s="564">
        <f t="shared" si="18"/>
        <v>0</v>
      </c>
      <c r="K31" s="564">
        <f t="shared" si="18"/>
        <v>0</v>
      </c>
      <c r="L31" s="565">
        <f>SUM(E31:K31)</f>
        <v>144565127.24000001</v>
      </c>
      <c r="M31" s="564">
        <f>M9+M19+M28</f>
        <v>2368000</v>
      </c>
      <c r="N31" s="564">
        <f>N12+N19+N28</f>
        <v>0</v>
      </c>
      <c r="O31" s="564">
        <f>O27</f>
        <v>0</v>
      </c>
      <c r="P31" s="564">
        <f>+P27</f>
        <v>0</v>
      </c>
      <c r="Q31" s="564">
        <f>SUM(L31:P31)</f>
        <v>146933127.24000001</v>
      </c>
      <c r="R31" s="566">
        <f>R9+R19+R28</f>
        <v>30.25</v>
      </c>
    </row>
    <row r="32" spans="1:18" s="27" customFormat="1" ht="12.75" customHeight="1" thickBot="1">
      <c r="A32" s="919" t="s">
        <v>90</v>
      </c>
      <c r="B32" s="920"/>
      <c r="C32" s="920"/>
      <c r="D32" s="921"/>
      <c r="E32" s="564">
        <v>0</v>
      </c>
      <c r="F32" s="564">
        <v>0</v>
      </c>
      <c r="G32" s="564">
        <v>0</v>
      </c>
      <c r="H32" s="564">
        <v>0</v>
      </c>
      <c r="I32" s="564">
        <v>0</v>
      </c>
      <c r="J32" s="567">
        <v>0</v>
      </c>
      <c r="K32" s="564">
        <v>0</v>
      </c>
      <c r="L32" s="565">
        <v>0</v>
      </c>
      <c r="M32" s="568"/>
      <c r="N32" s="564">
        <f>N13+N20+N29</f>
        <v>0</v>
      </c>
      <c r="O32" s="568">
        <v>0</v>
      </c>
      <c r="P32" s="564">
        <v>0</v>
      </c>
      <c r="Q32" s="564">
        <f t="shared" ref="Q32:Q33" si="19">SUM(L32:P32)</f>
        <v>0</v>
      </c>
      <c r="R32" s="569"/>
    </row>
    <row r="33" spans="1:92" s="27" customFormat="1" ht="12.75" customHeight="1" thickBot="1">
      <c r="A33" s="922" t="s">
        <v>89</v>
      </c>
      <c r="B33" s="923"/>
      <c r="C33" s="923"/>
      <c r="D33" s="924"/>
      <c r="E33" s="570">
        <f t="shared" ref="E33:K33" si="20">E29+E20+E10</f>
        <v>13697868</v>
      </c>
      <c r="F33" s="570">
        <f t="shared" si="20"/>
        <v>2971776</v>
      </c>
      <c r="G33" s="570">
        <f t="shared" si="20"/>
        <v>3045970</v>
      </c>
      <c r="H33" s="570">
        <f t="shared" si="20"/>
        <v>0</v>
      </c>
      <c r="I33" s="570">
        <f t="shared" si="20"/>
        <v>0</v>
      </c>
      <c r="J33" s="571">
        <f t="shared" si="20"/>
        <v>0</v>
      </c>
      <c r="K33" s="570">
        <f t="shared" si="20"/>
        <v>0</v>
      </c>
      <c r="L33" s="572">
        <f>SUM(E33:K33)</f>
        <v>19715614</v>
      </c>
      <c r="M33" s="564">
        <f>M20+M10+M29</f>
        <v>1000000</v>
      </c>
      <c r="N33" s="570"/>
      <c r="O33" s="564"/>
      <c r="P33" s="570"/>
      <c r="Q33" s="564">
        <f t="shared" si="19"/>
        <v>20715614</v>
      </c>
      <c r="R33" s="566">
        <f>R26+R23+R10</f>
        <v>3.25</v>
      </c>
    </row>
    <row r="34" spans="1:92" s="27" customFormat="1" ht="12" customHeight="1">
      <c r="A34" s="396" t="s">
        <v>261</v>
      </c>
      <c r="B34" s="397"/>
      <c r="C34" s="397"/>
      <c r="D34" s="573"/>
      <c r="E34" s="574"/>
      <c r="F34" s="575"/>
      <c r="G34" s="575"/>
      <c r="H34" s="575"/>
      <c r="I34" s="575"/>
      <c r="J34" s="575"/>
      <c r="K34" s="575"/>
      <c r="L34" s="576"/>
      <c r="M34" s="575"/>
      <c r="N34" s="575"/>
      <c r="O34" s="575"/>
      <c r="P34" s="575"/>
      <c r="Q34" s="575"/>
      <c r="R34" s="577"/>
    </row>
    <row r="35" spans="1:92" s="27" customFormat="1" ht="2.25" customHeight="1" thickBot="1">
      <c r="A35" s="289"/>
      <c r="B35" s="290"/>
      <c r="C35" s="687"/>
      <c r="D35" s="688"/>
      <c r="E35" s="689"/>
      <c r="F35" s="689"/>
      <c r="G35" s="689"/>
      <c r="H35" s="689"/>
      <c r="I35" s="689"/>
      <c r="J35" s="689"/>
      <c r="K35" s="689"/>
      <c r="L35" s="690"/>
      <c r="M35" s="689"/>
      <c r="N35" s="689"/>
      <c r="O35" s="689"/>
      <c r="P35" s="689"/>
      <c r="Q35" s="689"/>
      <c r="R35" s="691"/>
    </row>
    <row r="36" spans="1:92" ht="12" customHeight="1" thickBot="1">
      <c r="A36" s="291">
        <v>1</v>
      </c>
      <c r="B36" s="292"/>
      <c r="C36" s="354"/>
      <c r="D36" s="692" t="s">
        <v>267</v>
      </c>
      <c r="E36" s="693">
        <f>E37+E38</f>
        <v>10886354</v>
      </c>
      <c r="F36" s="693">
        <f t="shared" ref="F36:K36" si="21">F37+F38</f>
        <v>2416657.88</v>
      </c>
      <c r="G36" s="693">
        <f t="shared" si="21"/>
        <v>12209784</v>
      </c>
      <c r="H36" s="693">
        <f t="shared" si="21"/>
        <v>0</v>
      </c>
      <c r="I36" s="693">
        <f t="shared" si="21"/>
        <v>0</v>
      </c>
      <c r="J36" s="693">
        <f t="shared" si="21"/>
        <v>4743411</v>
      </c>
      <c r="K36" s="693">
        <f t="shared" si="21"/>
        <v>5432588</v>
      </c>
      <c r="L36" s="693">
        <f t="shared" ref="L36:L83" si="22">SUM(E36:K36)</f>
        <v>35688794.879999995</v>
      </c>
      <c r="M36" s="693">
        <f>M40+M42+M83</f>
        <v>0</v>
      </c>
      <c r="N36" s="693">
        <f>N40+N42+N83</f>
        <v>0</v>
      </c>
      <c r="O36" s="693">
        <f>O40+O42+O83</f>
        <v>0</v>
      </c>
      <c r="P36" s="693">
        <f>P40+P42+P83</f>
        <v>0</v>
      </c>
      <c r="Q36" s="694">
        <f>SUM(L36:P36)</f>
        <v>35688794.879999995</v>
      </c>
      <c r="R36" s="695">
        <f>R40+R41</f>
        <v>2</v>
      </c>
    </row>
    <row r="37" spans="1:92" ht="13.5" customHeight="1">
      <c r="A37" s="293"/>
      <c r="B37" s="292"/>
      <c r="C37" s="354"/>
      <c r="D37" s="696" t="s">
        <v>83</v>
      </c>
      <c r="E37" s="318">
        <f>E40+E43+E42+E47</f>
        <v>10886354</v>
      </c>
      <c r="F37" s="318">
        <f t="shared" ref="F37:K37" si="23">F40+F43+F42+F47</f>
        <v>2416657.88</v>
      </c>
      <c r="G37" s="318">
        <f t="shared" si="23"/>
        <v>12209784</v>
      </c>
      <c r="H37" s="318">
        <f t="shared" si="23"/>
        <v>0</v>
      </c>
      <c r="I37" s="318">
        <f t="shared" si="23"/>
        <v>0</v>
      </c>
      <c r="J37" s="318">
        <f>J40+J43+J42+J47</f>
        <v>4743411</v>
      </c>
      <c r="K37" s="318">
        <f t="shared" si="23"/>
        <v>5432588</v>
      </c>
      <c r="L37" s="697">
        <f t="shared" si="22"/>
        <v>35688794.879999995</v>
      </c>
      <c r="M37" s="318"/>
      <c r="N37" s="318"/>
      <c r="O37" s="318"/>
      <c r="P37" s="318"/>
      <c r="Q37" s="319"/>
      <c r="R37" s="698"/>
    </row>
    <row r="38" spans="1:92" ht="13.5" customHeight="1" thickBot="1">
      <c r="A38" s="294"/>
      <c r="B38" s="295"/>
      <c r="C38" s="380"/>
      <c r="D38" s="699" t="s">
        <v>84</v>
      </c>
      <c r="E38" s="700"/>
      <c r="F38" s="701"/>
      <c r="G38" s="701"/>
      <c r="H38" s="701"/>
      <c r="I38" s="701"/>
      <c r="J38" s="701"/>
      <c r="K38" s="701"/>
      <c r="L38" s="700">
        <f t="shared" si="22"/>
        <v>0</v>
      </c>
      <c r="M38" s="701"/>
      <c r="N38" s="701"/>
      <c r="O38" s="701"/>
      <c r="P38" s="701"/>
      <c r="Q38" s="702"/>
      <c r="R38" s="703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</row>
    <row r="39" spans="1:92" s="230" customFormat="1" ht="10.5" customHeight="1" thickBot="1">
      <c r="A39" s="296"/>
      <c r="B39" s="379">
        <v>1</v>
      </c>
      <c r="C39" s="373"/>
      <c r="D39" s="704" t="s">
        <v>291</v>
      </c>
      <c r="E39" s="705"/>
      <c r="F39" s="705"/>
      <c r="G39" s="705"/>
      <c r="H39" s="705"/>
      <c r="I39" s="705"/>
      <c r="J39" s="705"/>
      <c r="K39" s="705"/>
      <c r="L39" s="705"/>
      <c r="M39" s="705"/>
      <c r="N39" s="705"/>
      <c r="O39" s="705"/>
      <c r="P39" s="705"/>
      <c r="Q39" s="706"/>
      <c r="R39" s="70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</row>
    <row r="40" spans="1:92" ht="11.25" customHeight="1">
      <c r="A40" s="297"/>
      <c r="B40" s="298"/>
      <c r="C40" s="336" t="s">
        <v>72</v>
      </c>
      <c r="D40" s="708" t="s">
        <v>83</v>
      </c>
      <c r="E40" s="709">
        <f>12626910+149009-1000000+246840-53405-E79</f>
        <v>10886354</v>
      </c>
      <c r="F40" s="709">
        <f>11969354*22%-F79</f>
        <v>2416657.88</v>
      </c>
      <c r="G40" s="710">
        <f>5571000+182000+24000+4500000+2000000-2000000-162489-400000-971+300000</f>
        <v>10013540</v>
      </c>
      <c r="H40" s="709"/>
      <c r="I40" s="711"/>
      <c r="J40" s="711"/>
      <c r="K40" s="711"/>
      <c r="L40" s="537">
        <f t="shared" si="22"/>
        <v>23316551.879999999</v>
      </c>
      <c r="M40" s="711"/>
      <c r="N40" s="711"/>
      <c r="O40" s="711"/>
      <c r="P40" s="711"/>
      <c r="Q40" s="536">
        <f t="shared" ref="Q40:Q83" si="24">SUM(L40:P40)</f>
        <v>23316551.879999999</v>
      </c>
      <c r="R40" s="712">
        <v>2</v>
      </c>
    </row>
    <row r="41" spans="1:92" ht="12.75" customHeight="1">
      <c r="A41" s="296"/>
      <c r="B41" s="296"/>
      <c r="C41" s="337" t="s">
        <v>73</v>
      </c>
      <c r="D41" s="713" t="s">
        <v>84</v>
      </c>
      <c r="E41" s="714">
        <v>0</v>
      </c>
      <c r="F41" s="714">
        <v>0</v>
      </c>
      <c r="G41" s="714"/>
      <c r="H41" s="714"/>
      <c r="I41" s="715"/>
      <c r="J41" s="715"/>
      <c r="K41" s="715"/>
      <c r="L41" s="541">
        <f t="shared" si="22"/>
        <v>0</v>
      </c>
      <c r="M41" s="715"/>
      <c r="N41" s="715"/>
      <c r="O41" s="715"/>
      <c r="P41" s="715"/>
      <c r="Q41" s="540">
        <f t="shared" si="24"/>
        <v>0</v>
      </c>
      <c r="R41" s="716">
        <v>0</v>
      </c>
    </row>
    <row r="42" spans="1:92" ht="9" customHeight="1">
      <c r="A42" s="330"/>
      <c r="B42" s="331">
        <v>3</v>
      </c>
      <c r="C42" s="332" t="s">
        <v>72</v>
      </c>
      <c r="D42" s="717" t="s">
        <v>334</v>
      </c>
      <c r="E42" s="579">
        <v>0</v>
      </c>
      <c r="F42" s="579"/>
      <c r="G42" s="580"/>
      <c r="H42" s="580"/>
      <c r="I42" s="579"/>
      <c r="J42" s="579"/>
      <c r="K42" s="579">
        <f>500000+3976664+652759</f>
        <v>5129423</v>
      </c>
      <c r="L42" s="581">
        <f>SUM(E42:K42)</f>
        <v>5129423</v>
      </c>
      <c r="M42" s="579"/>
      <c r="N42" s="579"/>
      <c r="O42" s="579"/>
      <c r="P42" s="579"/>
      <c r="Q42" s="582">
        <f>SUM(L42:P42)</f>
        <v>5129423</v>
      </c>
      <c r="R42" s="507"/>
    </row>
    <row r="43" spans="1:92" ht="9" customHeight="1">
      <c r="A43" s="296"/>
      <c r="B43" s="299">
        <v>4</v>
      </c>
      <c r="C43" s="332" t="s">
        <v>72</v>
      </c>
      <c r="D43" s="717" t="s">
        <v>263</v>
      </c>
      <c r="E43" s="323">
        <f>SUM(E44:E46)</f>
        <v>0</v>
      </c>
      <c r="F43" s="323">
        <f t="shared" ref="F43:I43" si="25">SUM(F44:F46)</f>
        <v>0</v>
      </c>
      <c r="G43" s="323">
        <f t="shared" si="25"/>
        <v>2196244</v>
      </c>
      <c r="H43" s="323">
        <f t="shared" si="25"/>
        <v>0</v>
      </c>
      <c r="I43" s="323">
        <f t="shared" si="25"/>
        <v>0</v>
      </c>
      <c r="J43" s="323">
        <f>SUM(J44+J45+J46)</f>
        <v>1743411</v>
      </c>
      <c r="K43" s="323">
        <f>303165</f>
        <v>303165</v>
      </c>
      <c r="L43" s="581">
        <f t="shared" ref="L43:L55" si="26">SUM(E43:K43)</f>
        <v>4242820</v>
      </c>
      <c r="M43" s="323"/>
      <c r="N43" s="323"/>
      <c r="O43" s="323"/>
      <c r="P43" s="323"/>
      <c r="Q43" s="582">
        <f t="shared" ref="Q43:Q55" si="27">SUM(L43:P43)</f>
        <v>4242820</v>
      </c>
      <c r="R43" s="327"/>
    </row>
    <row r="44" spans="1:92" ht="9" customHeight="1">
      <c r="A44" s="296"/>
      <c r="B44" s="299"/>
      <c r="C44" s="332"/>
      <c r="D44" s="718" t="s">
        <v>286</v>
      </c>
      <c r="E44" s="323"/>
      <c r="F44" s="323"/>
      <c r="G44" s="324"/>
      <c r="H44" s="324"/>
      <c r="I44" s="579">
        <v>0</v>
      </c>
      <c r="J44" s="323">
        <f>254124</f>
        <v>254124</v>
      </c>
      <c r="K44" s="323"/>
      <c r="L44" s="581">
        <f t="shared" si="26"/>
        <v>254124</v>
      </c>
      <c r="M44" s="323"/>
      <c r="N44" s="323"/>
      <c r="O44" s="323"/>
      <c r="P44" s="323"/>
      <c r="Q44" s="582">
        <f t="shared" si="27"/>
        <v>254124</v>
      </c>
      <c r="R44" s="327"/>
    </row>
    <row r="45" spans="1:92" ht="9" customHeight="1">
      <c r="A45" s="296"/>
      <c r="B45" s="299"/>
      <c r="C45" s="332"/>
      <c r="D45" s="718" t="s">
        <v>287</v>
      </c>
      <c r="E45" s="323"/>
      <c r="F45" s="323"/>
      <c r="G45" s="324"/>
      <c r="H45" s="324"/>
      <c r="J45" s="323">
        <f>93208*12+217200</f>
        <v>1335696</v>
      </c>
      <c r="K45" s="323"/>
      <c r="L45" s="581">
        <f t="shared" si="26"/>
        <v>1335696</v>
      </c>
      <c r="M45" s="323"/>
      <c r="N45" s="323"/>
      <c r="O45" s="323"/>
      <c r="P45" s="323"/>
      <c r="Q45" s="582">
        <f t="shared" si="27"/>
        <v>1335696</v>
      </c>
      <c r="R45" s="327"/>
    </row>
    <row r="46" spans="1:92" ht="9" customHeight="1">
      <c r="A46" s="296"/>
      <c r="B46" s="299"/>
      <c r="C46" s="332"/>
      <c r="D46" s="718" t="s">
        <v>288</v>
      </c>
      <c r="E46" s="323"/>
      <c r="F46" s="323"/>
      <c r="G46" s="324">
        <f>2253225-56981</f>
        <v>2196244</v>
      </c>
      <c r="H46" s="324"/>
      <c r="I46" s="323"/>
      <c r="J46" s="323">
        <v>153591</v>
      </c>
      <c r="K46" s="323"/>
      <c r="L46" s="581">
        <f t="shared" si="26"/>
        <v>2349835</v>
      </c>
      <c r="M46" s="323"/>
      <c r="N46" s="323"/>
      <c r="O46" s="323"/>
      <c r="P46" s="323"/>
      <c r="Q46" s="582">
        <f t="shared" si="27"/>
        <v>2349835</v>
      </c>
      <c r="R46" s="327"/>
    </row>
    <row r="47" spans="1:92" ht="15" customHeight="1" thickBot="1">
      <c r="A47" s="330"/>
      <c r="B47" s="331"/>
      <c r="C47" s="390" t="s">
        <v>72</v>
      </c>
      <c r="D47" s="322" t="s">
        <v>300</v>
      </c>
      <c r="E47" s="323"/>
      <c r="F47" s="323"/>
      <c r="G47" s="324"/>
      <c r="H47" s="324"/>
      <c r="I47" s="323"/>
      <c r="J47" s="323">
        <f>3000000</f>
        <v>3000000</v>
      </c>
      <c r="K47" s="323"/>
      <c r="L47" s="325">
        <f t="shared" ref="L47:L54" si="28">SUM(E47:K47)</f>
        <v>3000000</v>
      </c>
      <c r="M47" s="323"/>
      <c r="N47" s="323"/>
      <c r="O47" s="323"/>
      <c r="P47" s="323"/>
      <c r="Q47" s="326">
        <f t="shared" si="27"/>
        <v>3000000</v>
      </c>
      <c r="R47" s="327"/>
    </row>
    <row r="48" spans="1:92" ht="36.75" customHeight="1" thickBot="1">
      <c r="A48" s="330">
        <v>2</v>
      </c>
      <c r="B48" s="372"/>
      <c r="C48" s="373" t="s">
        <v>72</v>
      </c>
      <c r="D48" s="720" t="s">
        <v>292</v>
      </c>
      <c r="E48" s="374">
        <v>5172000</v>
      </c>
      <c r="F48" s="374">
        <v>1137840</v>
      </c>
      <c r="G48" s="375">
        <v>2072640</v>
      </c>
      <c r="H48" s="375"/>
      <c r="I48" s="374"/>
      <c r="J48" s="374"/>
      <c r="K48" s="374"/>
      <c r="L48" s="376">
        <f t="shared" si="28"/>
        <v>8382480</v>
      </c>
      <c r="M48" s="374"/>
      <c r="N48" s="374"/>
      <c r="O48" s="374"/>
      <c r="P48" s="374"/>
      <c r="Q48" s="377">
        <f t="shared" ref="Q48:Q54" si="29">SUM(L48:P48)</f>
        <v>8382480</v>
      </c>
      <c r="R48" s="378">
        <v>2</v>
      </c>
    </row>
    <row r="49" spans="1:19" ht="14.25" customHeight="1" thickBot="1">
      <c r="A49" s="330">
        <v>3</v>
      </c>
      <c r="B49" s="372"/>
      <c r="C49" s="373" t="s">
        <v>72</v>
      </c>
      <c r="D49" s="721" t="s">
        <v>272</v>
      </c>
      <c r="E49" s="374"/>
      <c r="F49" s="374"/>
      <c r="G49" s="375">
        <f>200000+250000</f>
        <v>450000</v>
      </c>
      <c r="H49" s="375"/>
      <c r="I49" s="374"/>
      <c r="J49" s="374"/>
      <c r="K49" s="374"/>
      <c r="L49" s="376">
        <f t="shared" si="28"/>
        <v>450000</v>
      </c>
      <c r="M49" s="374"/>
      <c r="N49" s="374"/>
      <c r="O49" s="374"/>
      <c r="P49" s="374"/>
      <c r="Q49" s="377">
        <f t="shared" si="29"/>
        <v>450000</v>
      </c>
      <c r="R49" s="378"/>
    </row>
    <row r="50" spans="1:19" s="392" customFormat="1" ht="16.5" customHeight="1" thickBot="1">
      <c r="A50" s="329">
        <v>4</v>
      </c>
      <c r="B50" s="382"/>
      <c r="C50" s="391" t="s">
        <v>72</v>
      </c>
      <c r="D50" s="721" t="s">
        <v>269</v>
      </c>
      <c r="E50" s="374"/>
      <c r="F50" s="374"/>
      <c r="G50" s="375">
        <f>1300000</f>
        <v>1300000</v>
      </c>
      <c r="H50" s="375"/>
      <c r="I50" s="374"/>
      <c r="J50" s="374"/>
      <c r="K50" s="374"/>
      <c r="L50" s="376">
        <f t="shared" si="28"/>
        <v>1300000</v>
      </c>
      <c r="M50" s="374"/>
      <c r="N50" s="374"/>
      <c r="O50" s="374"/>
      <c r="P50" s="374"/>
      <c r="Q50" s="377">
        <f t="shared" si="29"/>
        <v>1300000</v>
      </c>
      <c r="R50" s="378"/>
    </row>
    <row r="51" spans="1:19" ht="12" customHeight="1" thickBot="1">
      <c r="A51" s="330">
        <v>5</v>
      </c>
      <c r="B51" s="372"/>
      <c r="C51" s="373" t="s">
        <v>72</v>
      </c>
      <c r="D51" s="721" t="s">
        <v>57</v>
      </c>
      <c r="E51" s="374"/>
      <c r="F51" s="374"/>
      <c r="G51" s="375">
        <f>4000000</f>
        <v>4000000</v>
      </c>
      <c r="H51" s="375"/>
      <c r="I51" s="374"/>
      <c r="J51" s="374"/>
      <c r="K51" s="374"/>
      <c r="L51" s="376">
        <f t="shared" si="28"/>
        <v>4000000</v>
      </c>
      <c r="M51" s="374"/>
      <c r="N51" s="374"/>
      <c r="O51" s="374"/>
      <c r="P51" s="374"/>
      <c r="Q51" s="377">
        <f t="shared" si="29"/>
        <v>4000000</v>
      </c>
      <c r="R51" s="378"/>
    </row>
    <row r="52" spans="1:19" ht="12" customHeight="1" thickBot="1">
      <c r="A52" s="330">
        <v>6</v>
      </c>
      <c r="B52" s="372"/>
      <c r="C52" s="373" t="s">
        <v>72</v>
      </c>
      <c r="D52" s="381" t="s">
        <v>56</v>
      </c>
      <c r="E52" s="374">
        <f>414000+103500+19772</f>
        <v>537272</v>
      </c>
      <c r="F52" s="374">
        <f>80732+20183</f>
        <v>100915</v>
      </c>
      <c r="G52" s="375">
        <f>10000000</f>
        <v>10000000</v>
      </c>
      <c r="H52" s="375"/>
      <c r="I52" s="374"/>
      <c r="J52" s="374"/>
      <c r="K52" s="374"/>
      <c r="L52" s="376">
        <f t="shared" si="28"/>
        <v>10638187</v>
      </c>
      <c r="M52" s="374">
        <f>'6 beruházások'!D11</f>
        <v>250000</v>
      </c>
      <c r="N52" s="374"/>
      <c r="O52" s="374"/>
      <c r="P52" s="374"/>
      <c r="Q52" s="377">
        <f t="shared" si="29"/>
        <v>10888187</v>
      </c>
      <c r="R52" s="378"/>
    </row>
    <row r="53" spans="1:19" ht="14.25" customHeight="1" thickBot="1">
      <c r="A53" s="330">
        <v>7</v>
      </c>
      <c r="B53" s="372"/>
      <c r="C53" s="373" t="s">
        <v>72</v>
      </c>
      <c r="D53" s="722" t="s">
        <v>270</v>
      </c>
      <c r="E53" s="374"/>
      <c r="F53" s="374"/>
      <c r="G53" s="375">
        <f>750000</f>
        <v>750000</v>
      </c>
      <c r="H53" s="375"/>
      <c r="I53" s="374"/>
      <c r="J53" s="374"/>
      <c r="K53" s="374"/>
      <c r="L53" s="376">
        <f t="shared" si="28"/>
        <v>750000</v>
      </c>
      <c r="M53" s="374">
        <f>'6 beruházások'!D15+'6 beruházások'!D17+'6 beruházások'!D16</f>
        <v>6300000</v>
      </c>
      <c r="N53" s="374"/>
      <c r="O53" s="374"/>
      <c r="P53" s="374"/>
      <c r="Q53" s="377">
        <f t="shared" si="29"/>
        <v>7050000</v>
      </c>
      <c r="R53" s="378"/>
    </row>
    <row r="54" spans="1:19" ht="13.5" customHeight="1" thickBot="1">
      <c r="A54" s="330">
        <v>9</v>
      </c>
      <c r="B54" s="372"/>
      <c r="C54" s="373" t="s">
        <v>72</v>
      </c>
      <c r="D54" s="381" t="s">
        <v>259</v>
      </c>
      <c r="E54" s="374"/>
      <c r="F54" s="374"/>
      <c r="G54" s="723">
        <v>0</v>
      </c>
      <c r="H54" s="375"/>
      <c r="I54" s="374"/>
      <c r="J54" s="374"/>
      <c r="K54" s="374"/>
      <c r="L54" s="376">
        <f t="shared" si="28"/>
        <v>0</v>
      </c>
      <c r="M54" s="374"/>
      <c r="N54" s="374"/>
      <c r="O54" s="374"/>
      <c r="P54" s="374"/>
      <c r="Q54" s="377">
        <f t="shared" si="29"/>
        <v>0</v>
      </c>
      <c r="R54" s="378"/>
    </row>
    <row r="55" spans="1:19" ht="16.5" customHeight="1" thickBot="1">
      <c r="A55" s="330">
        <v>10</v>
      </c>
      <c r="B55" s="382"/>
      <c r="C55" s="384" t="s">
        <v>73</v>
      </c>
      <c r="D55" s="724" t="s">
        <v>271</v>
      </c>
      <c r="E55" s="374">
        <f>300000</f>
        <v>300000</v>
      </c>
      <c r="F55" s="374">
        <f>E55*22%</f>
        <v>66000</v>
      </c>
      <c r="G55" s="375">
        <f>1000000+1100000</f>
        <v>2100000</v>
      </c>
      <c r="H55" s="375"/>
      <c r="I55" s="374"/>
      <c r="J55" s="374"/>
      <c r="K55" s="374"/>
      <c r="L55" s="376">
        <f t="shared" si="26"/>
        <v>2466000</v>
      </c>
      <c r="M55" s="374"/>
      <c r="N55" s="374"/>
      <c r="O55" s="374"/>
      <c r="P55" s="374"/>
      <c r="Q55" s="377">
        <f t="shared" si="27"/>
        <v>2466000</v>
      </c>
      <c r="R55" s="378"/>
    </row>
    <row r="56" spans="1:19" ht="13.5" customHeight="1" thickBot="1">
      <c r="A56" s="353">
        <v>11</v>
      </c>
      <c r="B56" s="383"/>
      <c r="C56" s="385" t="s">
        <v>73</v>
      </c>
      <c r="D56" s="725" t="s">
        <v>262</v>
      </c>
      <c r="E56" s="590">
        <f>SUM(E57:E65)</f>
        <v>1764138</v>
      </c>
      <c r="F56" s="590">
        <f>SUM(F57:F65)</f>
        <v>511444</v>
      </c>
      <c r="G56" s="590">
        <f>SUM(G57:G65)</f>
        <v>11915126</v>
      </c>
      <c r="H56" s="590">
        <f t="shared" ref="H56:K56" si="30">SUM(H57:H65)</f>
        <v>0</v>
      </c>
      <c r="I56" s="590">
        <f t="shared" si="30"/>
        <v>0</v>
      </c>
      <c r="J56" s="590">
        <f t="shared" si="30"/>
        <v>0</v>
      </c>
      <c r="K56" s="590">
        <f t="shared" si="30"/>
        <v>0</v>
      </c>
      <c r="L56" s="726">
        <f t="shared" ref="L56" si="31">SUM(E56:K56)</f>
        <v>14190708</v>
      </c>
      <c r="M56" s="590">
        <f>SUM(M57:M65)</f>
        <v>414137407</v>
      </c>
      <c r="N56" s="590">
        <f t="shared" ref="N56:P56" si="32">SUM(N57:N61)</f>
        <v>0</v>
      </c>
      <c r="O56" s="590">
        <f t="shared" si="32"/>
        <v>0</v>
      </c>
      <c r="P56" s="590">
        <f t="shared" si="32"/>
        <v>0</v>
      </c>
      <c r="Q56" s="727">
        <f t="shared" ref="Q56" si="33">SUM(L56:P56)</f>
        <v>428328115</v>
      </c>
      <c r="R56" s="728"/>
    </row>
    <row r="57" spans="1:19" ht="10.5" customHeight="1">
      <c r="A57" s="351"/>
      <c r="B57" s="339">
        <v>1</v>
      </c>
      <c r="C57" s="315"/>
      <c r="D57" s="729" t="s">
        <v>277</v>
      </c>
      <c r="E57" s="730">
        <f>116731+187200</f>
        <v>303931</v>
      </c>
      <c r="F57" s="730">
        <f>33269+52800</f>
        <v>86069</v>
      </c>
      <c r="G57" s="731">
        <f>960000-E57-F57</f>
        <v>570000</v>
      </c>
      <c r="H57" s="731"/>
      <c r="I57" s="730"/>
      <c r="J57" s="730"/>
      <c r="K57" s="730"/>
      <c r="L57" s="732">
        <f t="shared" ref="L57:L62" si="34">SUM(E57:K57)</f>
        <v>960000</v>
      </c>
      <c r="M57" s="730"/>
      <c r="N57" s="730"/>
      <c r="O57" s="730"/>
      <c r="P57" s="730"/>
      <c r="Q57" s="733">
        <f>SUM(L57:P57)</f>
        <v>960000</v>
      </c>
      <c r="R57" s="514"/>
      <c r="S57" s="117"/>
    </row>
    <row r="58" spans="1:19" ht="11.25" customHeight="1">
      <c r="A58" s="313"/>
      <c r="B58" s="314">
        <f>B57+1</f>
        <v>2</v>
      </c>
      <c r="C58" s="315"/>
      <c r="D58" s="734" t="s">
        <v>312</v>
      </c>
      <c r="E58" s="579"/>
      <c r="F58" s="579"/>
      <c r="G58" s="580">
        <f>2*127000</f>
        <v>254000</v>
      </c>
      <c r="H58" s="580"/>
      <c r="I58" s="579"/>
      <c r="J58" s="579"/>
      <c r="K58" s="579"/>
      <c r="L58" s="732">
        <f t="shared" si="34"/>
        <v>254000</v>
      </c>
      <c r="M58" s="579">
        <f>37454000+1781406</f>
        <v>39235406</v>
      </c>
      <c r="N58" s="579"/>
      <c r="O58" s="579"/>
      <c r="P58" s="579"/>
      <c r="Q58" s="582">
        <f>M58+L58+N58+O58+P58</f>
        <v>39489406</v>
      </c>
      <c r="R58" s="507"/>
    </row>
    <row r="59" spans="1:19" ht="12" customHeight="1">
      <c r="A59" s="313"/>
      <c r="B59" s="314">
        <f t="shared" ref="B59:B61" si="35">B58+1</f>
        <v>3</v>
      </c>
      <c r="C59" s="315"/>
      <c r="D59" s="735" t="s">
        <v>316</v>
      </c>
      <c r="E59" s="579">
        <v>258750</v>
      </c>
      <c r="F59" s="579">
        <v>116250</v>
      </c>
      <c r="G59" s="580">
        <f>450000+50000+119710+750000+1500000</f>
        <v>2869710</v>
      </c>
      <c r="H59" s="580"/>
      <c r="I59" s="579"/>
      <c r="J59" s="579"/>
      <c r="K59" s="579"/>
      <c r="L59" s="581">
        <f t="shared" si="34"/>
        <v>3244710</v>
      </c>
      <c r="M59" s="579">
        <f>'6 beruházások'!D33</f>
        <v>71755290</v>
      </c>
      <c r="N59" s="579"/>
      <c r="O59" s="579"/>
      <c r="P59" s="579"/>
      <c r="Q59" s="582">
        <f>SUM(L59:P59)</f>
        <v>75000000</v>
      </c>
      <c r="R59" s="507"/>
    </row>
    <row r="60" spans="1:19" ht="11.25" customHeight="1">
      <c r="A60" s="313"/>
      <c r="B60" s="314">
        <f t="shared" si="35"/>
        <v>4</v>
      </c>
      <c r="C60" s="315"/>
      <c r="D60" s="735" t="s">
        <v>278</v>
      </c>
      <c r="E60" s="579">
        <f>372832+53262</f>
        <v>426094</v>
      </c>
      <c r="F60" s="579">
        <v>106524</v>
      </c>
      <c r="G60" s="580">
        <f>1065238+170000+532618+1065238+2+127000-200000</f>
        <v>2760096</v>
      </c>
      <c r="H60" s="580"/>
      <c r="I60" s="579"/>
      <c r="J60" s="579"/>
      <c r="K60" s="579"/>
      <c r="L60" s="581">
        <f t="shared" si="34"/>
        <v>3292714</v>
      </c>
      <c r="M60" s="579">
        <f>'6 beruházások'!D48</f>
        <v>95389098</v>
      </c>
      <c r="N60" s="579"/>
      <c r="O60" s="579"/>
      <c r="P60" s="579"/>
      <c r="Q60" s="582">
        <f>SUM(L60:P60)</f>
        <v>98681812</v>
      </c>
      <c r="R60" s="507"/>
    </row>
    <row r="61" spans="1:19" ht="12.75" customHeight="1">
      <c r="A61" s="313"/>
      <c r="B61" s="314">
        <f t="shared" si="35"/>
        <v>5</v>
      </c>
      <c r="C61" s="315"/>
      <c r="D61" s="25" t="s">
        <v>279</v>
      </c>
      <c r="E61" s="323">
        <f>496625+70946</f>
        <v>567571</v>
      </c>
      <c r="F61" s="323">
        <v>141893</v>
      </c>
      <c r="G61" s="324">
        <f>1418928+709464+170000+1418928</f>
        <v>3717320</v>
      </c>
      <c r="H61" s="324"/>
      <c r="I61" s="323"/>
      <c r="J61" s="323"/>
      <c r="K61" s="323"/>
      <c r="L61" s="325">
        <f t="shared" si="34"/>
        <v>4426784</v>
      </c>
      <c r="M61" s="323">
        <f>'6 beruházások'!D37</f>
        <v>134777466</v>
      </c>
      <c r="N61" s="323"/>
      <c r="O61" s="323"/>
      <c r="P61" s="323"/>
      <c r="Q61" s="326">
        <f>SUM(L61:P61)</f>
        <v>139204250</v>
      </c>
      <c r="R61" s="327"/>
    </row>
    <row r="62" spans="1:19" ht="12.75" customHeight="1">
      <c r="A62" s="313"/>
      <c r="B62" s="314"/>
      <c r="C62" s="315"/>
      <c r="D62" s="734" t="s">
        <v>280</v>
      </c>
      <c r="E62" s="579">
        <v>207792</v>
      </c>
      <c r="F62" s="579">
        <v>60708</v>
      </c>
      <c r="G62" s="580">
        <f>533400+1210600</f>
        <v>1744000</v>
      </c>
      <c r="H62" s="580"/>
      <c r="I62" s="579"/>
      <c r="J62" s="579"/>
      <c r="K62" s="579"/>
      <c r="L62" s="581">
        <f t="shared" si="34"/>
        <v>2012500</v>
      </c>
      <c r="M62" s="579">
        <f>'6 beruházások'!D49+'6 beruházások'!D38</f>
        <v>50076500</v>
      </c>
      <c r="N62" s="579"/>
      <c r="O62" s="579"/>
      <c r="P62" s="579"/>
      <c r="Q62" s="582">
        <f>SUM(L62:P62)</f>
        <v>52089000</v>
      </c>
      <c r="R62" s="736"/>
    </row>
    <row r="63" spans="1:19" ht="12.75" customHeight="1">
      <c r="A63" s="300" t="s">
        <v>311</v>
      </c>
      <c r="B63" s="301"/>
      <c r="C63" s="315"/>
      <c r="D63" s="352" t="s">
        <v>327</v>
      </c>
      <c r="E63" s="579"/>
      <c r="F63" s="579"/>
      <c r="G63" s="580"/>
      <c r="H63" s="580"/>
      <c r="I63" s="579"/>
      <c r="J63" s="579"/>
      <c r="K63" s="579"/>
      <c r="L63" s="581">
        <f t="shared" ref="L63:L65" si="36">SUM(E63:K63)</f>
        <v>0</v>
      </c>
      <c r="M63" s="579">
        <f>'6 beruházások'!D40</f>
        <v>8769066</v>
      </c>
      <c r="N63" s="579"/>
      <c r="O63" s="579"/>
      <c r="P63" s="579"/>
      <c r="Q63" s="582">
        <f>M63+L63</f>
        <v>8769066</v>
      </c>
      <c r="R63" s="736"/>
    </row>
    <row r="64" spans="1:19" ht="24" customHeight="1">
      <c r="A64" s="300"/>
      <c r="B64" s="301"/>
      <c r="C64" s="315"/>
      <c r="D64" s="737" t="s">
        <v>332</v>
      </c>
      <c r="E64" s="579"/>
      <c r="F64" s="579"/>
      <c r="G64" s="580"/>
      <c r="H64" s="580"/>
      <c r="I64" s="579"/>
      <c r="J64" s="579"/>
      <c r="K64" s="579"/>
      <c r="L64" s="581">
        <f t="shared" si="36"/>
        <v>0</v>
      </c>
      <c r="M64" s="579">
        <f>'6 beruházások'!D41</f>
        <v>750000</v>
      </c>
      <c r="N64" s="579"/>
      <c r="O64" s="579"/>
      <c r="P64" s="579"/>
      <c r="Q64" s="582">
        <f>M64+L64</f>
        <v>750000</v>
      </c>
      <c r="R64" s="736"/>
    </row>
    <row r="65" spans="1:18" ht="27" customHeight="1" thickBot="1">
      <c r="A65" s="313"/>
      <c r="B65" s="314">
        <f>B61+1</f>
        <v>6</v>
      </c>
      <c r="C65" s="315"/>
      <c r="D65" s="738" t="s">
        <v>331</v>
      </c>
      <c r="E65" s="579"/>
      <c r="F65" s="579"/>
      <c r="G65" s="580">
        <v>0</v>
      </c>
      <c r="H65" s="580"/>
      <c r="I65" s="579"/>
      <c r="J65" s="579"/>
      <c r="K65" s="579"/>
      <c r="L65" s="581">
        <f t="shared" si="36"/>
        <v>0</v>
      </c>
      <c r="M65" s="579">
        <f>'6 beruházások'!D42</f>
        <v>13384581</v>
      </c>
      <c r="N65" s="579"/>
      <c r="O65" s="579"/>
      <c r="P65" s="579"/>
      <c r="Q65" s="582">
        <f>SUM(L65:P65)</f>
        <v>13384581</v>
      </c>
      <c r="R65" s="736"/>
    </row>
    <row r="66" spans="1:18" ht="9" customHeight="1">
      <c r="A66" s="343">
        <v>12</v>
      </c>
      <c r="B66" s="344"/>
      <c r="C66" s="345"/>
      <c r="D66" s="739" t="s">
        <v>273</v>
      </c>
      <c r="E66" s="318">
        <f>E75+E74+E70+E69</f>
        <v>4471941</v>
      </c>
      <c r="F66" s="318">
        <f t="shared" ref="F66:K66" si="37">F75+F74+F70+F69</f>
        <v>983827.02</v>
      </c>
      <c r="G66" s="318">
        <f>G75+G74+G70+G69</f>
        <v>2591070</v>
      </c>
      <c r="H66" s="318">
        <f t="shared" si="37"/>
        <v>861230</v>
      </c>
      <c r="I66" s="318">
        <f t="shared" si="37"/>
        <v>750000</v>
      </c>
      <c r="J66" s="318">
        <f t="shared" si="37"/>
        <v>0</v>
      </c>
      <c r="K66" s="318">
        <f t="shared" si="37"/>
        <v>0</v>
      </c>
      <c r="L66" s="318">
        <f t="shared" ref="L66:L68" si="38">SUM(E66:K66)</f>
        <v>9658068.0199999996</v>
      </c>
      <c r="M66" s="318">
        <f>SUM(M67:M68)</f>
        <v>0</v>
      </c>
      <c r="N66" s="318">
        <f t="shared" ref="N66:P66" si="39">SUM(N67:N68)</f>
        <v>0</v>
      </c>
      <c r="O66" s="318">
        <f t="shared" si="39"/>
        <v>0</v>
      </c>
      <c r="P66" s="318">
        <f t="shared" si="39"/>
        <v>0</v>
      </c>
      <c r="Q66" s="319">
        <f t="shared" ref="Q66:Q68" si="40">SUM(L66:P66)</f>
        <v>9658068.0199999996</v>
      </c>
      <c r="R66" s="698">
        <f>R74</f>
        <v>1.5</v>
      </c>
    </row>
    <row r="67" spans="1:18" ht="9" customHeight="1">
      <c r="A67" s="346"/>
      <c r="B67" s="347"/>
      <c r="C67" s="348"/>
      <c r="D67" s="740" t="s">
        <v>83</v>
      </c>
      <c r="E67" s="318">
        <f>E70+E73+E74+E75</f>
        <v>4471941</v>
      </c>
      <c r="F67" s="318">
        <f t="shared" ref="F67:K67" si="41">F70+F73+F74+F75</f>
        <v>983827.02</v>
      </c>
      <c r="G67" s="318">
        <f t="shared" si="41"/>
        <v>1650000</v>
      </c>
      <c r="H67" s="318">
        <f t="shared" si="41"/>
        <v>971230</v>
      </c>
      <c r="I67" s="318">
        <f t="shared" si="41"/>
        <v>750000</v>
      </c>
      <c r="J67" s="318">
        <f t="shared" si="41"/>
        <v>0</v>
      </c>
      <c r="K67" s="318">
        <f t="shared" si="41"/>
        <v>0</v>
      </c>
      <c r="L67" s="741">
        <f t="shared" si="38"/>
        <v>8826998.0199999996</v>
      </c>
      <c r="M67" s="318">
        <f>M70+M73+M74+M75</f>
        <v>0</v>
      </c>
      <c r="N67" s="318">
        <f>N70+N73+N74+N75</f>
        <v>0</v>
      </c>
      <c r="O67" s="318">
        <f>O70+O73+O74+O75</f>
        <v>0</v>
      </c>
      <c r="P67" s="318">
        <f>P70+P73+P74+P75</f>
        <v>0</v>
      </c>
      <c r="Q67" s="702">
        <f t="shared" si="40"/>
        <v>8826998.0199999996</v>
      </c>
      <c r="R67" s="698"/>
    </row>
    <row r="68" spans="1:18" ht="15.75" customHeight="1">
      <c r="A68" s="346"/>
      <c r="B68" s="347"/>
      <c r="C68" s="348"/>
      <c r="D68" s="740" t="s">
        <v>84</v>
      </c>
      <c r="E68" s="318">
        <f>E69+E71+E72</f>
        <v>0</v>
      </c>
      <c r="F68" s="318">
        <f t="shared" ref="F68:G68" si="42">F69+F71+F72</f>
        <v>0</v>
      </c>
      <c r="G68" s="318">
        <f t="shared" si="42"/>
        <v>941070</v>
      </c>
      <c r="H68" s="318">
        <f>H69+H71+H72</f>
        <v>810000</v>
      </c>
      <c r="I68" s="318">
        <f t="shared" ref="I68" si="43">I69+I71+I72</f>
        <v>0</v>
      </c>
      <c r="J68" s="318">
        <f t="shared" ref="J68" si="44">J69+J71+J72</f>
        <v>530000</v>
      </c>
      <c r="K68" s="318">
        <f t="shared" ref="K68" si="45">K69+K71+K72</f>
        <v>0</v>
      </c>
      <c r="L68" s="318">
        <f t="shared" si="38"/>
        <v>2281070</v>
      </c>
      <c r="M68" s="318">
        <f>M69+M71+M72</f>
        <v>0</v>
      </c>
      <c r="N68" s="318">
        <f t="shared" ref="N68:P68" si="46">N69+N71+N72</f>
        <v>0</v>
      </c>
      <c r="O68" s="318">
        <f t="shared" si="46"/>
        <v>0</v>
      </c>
      <c r="P68" s="318">
        <f t="shared" si="46"/>
        <v>0</v>
      </c>
      <c r="Q68" s="742">
        <f t="shared" si="40"/>
        <v>2281070</v>
      </c>
      <c r="R68" s="698"/>
    </row>
    <row r="69" spans="1:18" ht="12" customHeight="1">
      <c r="A69" s="328"/>
      <c r="B69" s="329">
        <v>1</v>
      </c>
      <c r="C69" s="321" t="s">
        <v>73</v>
      </c>
      <c r="D69" s="578" t="s">
        <v>238</v>
      </c>
      <c r="E69" s="579">
        <v>0</v>
      </c>
      <c r="F69" s="579"/>
      <c r="G69" s="580">
        <f>622300+44450+274320</f>
        <v>941070</v>
      </c>
      <c r="H69" s="580">
        <v>0</v>
      </c>
      <c r="I69" s="579">
        <v>0</v>
      </c>
      <c r="J69" s="579"/>
      <c r="K69" s="579"/>
      <c r="L69" s="581">
        <f>SUM(E69:K69)</f>
        <v>941070</v>
      </c>
      <c r="M69" s="579"/>
      <c r="N69" s="579"/>
      <c r="O69" s="579"/>
      <c r="P69" s="579"/>
      <c r="Q69" s="582">
        <f>L69</f>
        <v>941070</v>
      </c>
      <c r="R69" s="507"/>
    </row>
    <row r="70" spans="1:18" ht="11.25" customHeight="1">
      <c r="A70" s="328"/>
      <c r="B70" s="329">
        <v>2</v>
      </c>
      <c r="C70" s="321" t="s">
        <v>72</v>
      </c>
      <c r="D70" s="578" t="s">
        <v>266</v>
      </c>
      <c r="E70" s="579">
        <v>0</v>
      </c>
      <c r="F70" s="579"/>
      <c r="G70" s="580"/>
      <c r="H70" s="580">
        <f>2000000-318770-10000-810000</f>
        <v>861230</v>
      </c>
      <c r="I70" s="579"/>
      <c r="J70" s="579"/>
      <c r="K70" s="579"/>
      <c r="L70" s="581">
        <f>SUM(E70:K70)</f>
        <v>861230</v>
      </c>
      <c r="M70" s="579"/>
      <c r="N70" s="579"/>
      <c r="O70" s="579"/>
      <c r="P70" s="579"/>
      <c r="Q70" s="582">
        <f>SUM(L70:P70)</f>
        <v>861230</v>
      </c>
      <c r="R70" s="507"/>
    </row>
    <row r="71" spans="1:18" ht="9.75" customHeight="1">
      <c r="A71" s="328"/>
      <c r="B71" s="329">
        <v>3</v>
      </c>
      <c r="C71" s="321" t="s">
        <v>73</v>
      </c>
      <c r="D71" s="578" t="s">
        <v>250</v>
      </c>
      <c r="E71" s="579"/>
      <c r="F71" s="579"/>
      <c r="G71" s="580">
        <v>0</v>
      </c>
      <c r="H71" s="580">
        <v>810000</v>
      </c>
      <c r="I71" s="579"/>
      <c r="J71" s="579"/>
      <c r="K71" s="579"/>
      <c r="L71" s="581">
        <f t="shared" ref="L71:L73" si="47">SUM(E71:K71)</f>
        <v>810000</v>
      </c>
      <c r="M71" s="579"/>
      <c r="N71" s="579"/>
      <c r="O71" s="579"/>
      <c r="P71" s="579"/>
      <c r="Q71" s="582">
        <f t="shared" ref="Q71:Q73" si="48">SUM(L71:P71)</f>
        <v>810000</v>
      </c>
      <c r="R71" s="507"/>
    </row>
    <row r="72" spans="1:18" ht="13.5" customHeight="1">
      <c r="A72" s="328"/>
      <c r="B72" s="329">
        <v>4</v>
      </c>
      <c r="C72" s="321" t="s">
        <v>73</v>
      </c>
      <c r="D72" s="578" t="s">
        <v>244</v>
      </c>
      <c r="E72" s="579"/>
      <c r="F72" s="579"/>
      <c r="G72" s="580"/>
      <c r="H72" s="580"/>
      <c r="I72" s="579"/>
      <c r="J72" s="579">
        <f>530000</f>
        <v>530000</v>
      </c>
      <c r="K72" s="579"/>
      <c r="L72" s="581">
        <f t="shared" si="47"/>
        <v>530000</v>
      </c>
      <c r="M72" s="579"/>
      <c r="N72" s="579"/>
      <c r="O72" s="579"/>
      <c r="P72" s="579"/>
      <c r="Q72" s="582">
        <f t="shared" si="48"/>
        <v>530000</v>
      </c>
      <c r="R72" s="507"/>
    </row>
    <row r="73" spans="1:18" ht="12" customHeight="1">
      <c r="A73" s="328"/>
      <c r="B73" s="329">
        <v>5</v>
      </c>
      <c r="C73" s="321" t="s">
        <v>72</v>
      </c>
      <c r="D73" s="578" t="s">
        <v>268</v>
      </c>
      <c r="E73" s="579"/>
      <c r="F73" s="579"/>
      <c r="G73" s="580"/>
      <c r="H73" s="580">
        <f>100000+10000</f>
        <v>110000</v>
      </c>
      <c r="I73" s="579"/>
      <c r="J73" s="579"/>
      <c r="K73" s="579"/>
      <c r="L73" s="581">
        <f t="shared" si="47"/>
        <v>110000</v>
      </c>
      <c r="M73" s="579"/>
      <c r="N73" s="579"/>
      <c r="O73" s="579"/>
      <c r="P73" s="579"/>
      <c r="Q73" s="582">
        <f t="shared" si="48"/>
        <v>110000</v>
      </c>
      <c r="R73" s="507"/>
    </row>
    <row r="74" spans="1:18" ht="9.75" customHeight="1">
      <c r="A74" s="328"/>
      <c r="B74" s="329">
        <v>6</v>
      </c>
      <c r="C74" s="321" t="s">
        <v>72</v>
      </c>
      <c r="D74" s="743" t="s">
        <v>217</v>
      </c>
      <c r="E74" s="579">
        <v>4471941</v>
      </c>
      <c r="F74" s="579">
        <f>E74*22%</f>
        <v>983827.02</v>
      </c>
      <c r="G74" s="580">
        <v>900000</v>
      </c>
      <c r="H74" s="580"/>
      <c r="I74" s="579"/>
      <c r="J74" s="579"/>
      <c r="K74" s="579"/>
      <c r="L74" s="581">
        <f>SUM(E74:K74)</f>
        <v>6355768.0199999996</v>
      </c>
      <c r="M74" s="579"/>
      <c r="N74" s="579"/>
      <c r="O74" s="579"/>
      <c r="P74" s="579"/>
      <c r="Q74" s="582">
        <f>SUM(L74:P74)</f>
        <v>6355768.0199999996</v>
      </c>
      <c r="R74" s="507">
        <v>1.5</v>
      </c>
    </row>
    <row r="75" spans="1:18" ht="12.75" customHeight="1" thickBot="1">
      <c r="A75" s="333"/>
      <c r="B75" s="334">
        <v>8</v>
      </c>
      <c r="C75" s="335" t="s">
        <v>72</v>
      </c>
      <c r="D75" s="744" t="s">
        <v>350</v>
      </c>
      <c r="E75" s="589">
        <v>0</v>
      </c>
      <c r="F75" s="589"/>
      <c r="G75" s="745">
        <v>750000</v>
      </c>
      <c r="H75" s="745"/>
      <c r="I75" s="589">
        <f>62500*12</f>
        <v>750000</v>
      </c>
      <c r="J75" s="589"/>
      <c r="K75" s="589"/>
      <c r="L75" s="581">
        <f t="shared" ref="L75" si="49">SUM(E75:K75)</f>
        <v>1500000</v>
      </c>
      <c r="M75" s="589"/>
      <c r="N75" s="589"/>
      <c r="O75" s="745"/>
      <c r="P75" s="745"/>
      <c r="Q75" s="746">
        <f>SUM(L75:P75)</f>
        <v>1500000</v>
      </c>
      <c r="R75" s="525"/>
    </row>
    <row r="76" spans="1:18" s="24" customFormat="1" ht="12.75" customHeight="1">
      <c r="A76" s="468">
        <v>13</v>
      </c>
      <c r="B76" s="469"/>
      <c r="C76" s="316" t="s">
        <v>72</v>
      </c>
      <c r="D76" s="317" t="s">
        <v>0</v>
      </c>
      <c r="E76" s="318">
        <f>+E77</f>
        <v>23304360</v>
      </c>
      <c r="F76" s="318">
        <f t="shared" ref="F76:K76" si="50">+F77</f>
        <v>2263123</v>
      </c>
      <c r="G76" s="318">
        <f t="shared" si="50"/>
        <v>13406815</v>
      </c>
      <c r="H76" s="318">
        <f t="shared" si="50"/>
        <v>0</v>
      </c>
      <c r="I76" s="318">
        <f t="shared" si="50"/>
        <v>0</v>
      </c>
      <c r="J76" s="318">
        <f t="shared" si="50"/>
        <v>0</v>
      </c>
      <c r="K76" s="318">
        <f t="shared" si="50"/>
        <v>0</v>
      </c>
      <c r="L76" s="318">
        <f>SUM(E76:K76)</f>
        <v>38974298</v>
      </c>
      <c r="M76" s="318">
        <f>'6 beruházások'!D19</f>
        <v>1306068</v>
      </c>
      <c r="N76" s="318"/>
      <c r="O76" s="318"/>
      <c r="P76" s="318"/>
      <c r="Q76" s="319">
        <f>SUM(L76:P76)</f>
        <v>40280366</v>
      </c>
      <c r="R76" s="320">
        <f>R77</f>
        <v>26</v>
      </c>
    </row>
    <row r="77" spans="1:18" ht="12" customHeight="1" thickBot="1">
      <c r="A77" s="329"/>
      <c r="B77" s="339">
        <v>2</v>
      </c>
      <c r="C77" s="387" t="s">
        <v>72</v>
      </c>
      <c r="D77" s="322" t="s">
        <v>276</v>
      </c>
      <c r="E77" s="323">
        <f>25403940-2099580</f>
        <v>23304360</v>
      </c>
      <c r="F77" s="323">
        <f>2467827-204704</f>
        <v>2263123</v>
      </c>
      <c r="G77" s="324">
        <f>591312+9847311+'3 bevételek'!H207</f>
        <v>13406815</v>
      </c>
      <c r="H77" s="324"/>
      <c r="I77" s="323"/>
      <c r="J77" s="323"/>
      <c r="K77" s="323"/>
      <c r="L77" s="325">
        <f t="shared" ref="L77:L81" si="51">SUM(E77:K77)</f>
        <v>38974298</v>
      </c>
      <c r="M77" s="323">
        <f>'6 beruházások'!D19</f>
        <v>1306068</v>
      </c>
      <c r="N77" s="323"/>
      <c r="O77" s="323"/>
      <c r="P77" s="323"/>
      <c r="Q77" s="326">
        <f>SUM(L77:P77)</f>
        <v>40280366</v>
      </c>
      <c r="R77" s="327">
        <v>26</v>
      </c>
    </row>
    <row r="78" spans="1:18" ht="26.25" customHeight="1" thickBot="1">
      <c r="A78" s="328">
        <v>14</v>
      </c>
      <c r="B78" s="386"/>
      <c r="C78" s="388" t="s">
        <v>72</v>
      </c>
      <c r="D78" s="747" t="s">
        <v>233</v>
      </c>
      <c r="E78" s="374">
        <f>5079619+400000</f>
        <v>5479619</v>
      </c>
      <c r="F78" s="374">
        <f>E78*22%</f>
        <v>1205516.18</v>
      </c>
      <c r="G78" s="375">
        <v>2868100</v>
      </c>
      <c r="H78" s="375"/>
      <c r="I78" s="374"/>
      <c r="J78" s="374">
        <v>0</v>
      </c>
      <c r="K78" s="374"/>
      <c r="L78" s="376">
        <f t="shared" si="51"/>
        <v>9553235.1799999997</v>
      </c>
      <c r="M78" s="374">
        <f>'6 beruházások'!D22</f>
        <v>114000</v>
      </c>
      <c r="N78" s="374"/>
      <c r="O78" s="374"/>
      <c r="P78" s="374"/>
      <c r="Q78" s="377">
        <f t="shared" ref="Q78:Q80" si="52">SUM(L78:P78)</f>
        <v>9667235.1799999997</v>
      </c>
      <c r="R78" s="748">
        <v>2</v>
      </c>
    </row>
    <row r="79" spans="1:18" ht="26.25" customHeight="1" thickBot="1">
      <c r="A79" s="583"/>
      <c r="B79" s="386"/>
      <c r="C79" s="388" t="s">
        <v>73</v>
      </c>
      <c r="D79" s="749" t="s">
        <v>346</v>
      </c>
      <c r="E79" s="374">
        <f>6*180500</f>
        <v>1083000</v>
      </c>
      <c r="F79" s="374">
        <f>E79*20%</f>
        <v>216600</v>
      </c>
      <c r="G79" s="375">
        <v>500000</v>
      </c>
      <c r="H79" s="375"/>
      <c r="I79" s="374"/>
      <c r="J79" s="374"/>
      <c r="K79" s="374"/>
      <c r="L79" s="376">
        <f t="shared" si="51"/>
        <v>1799600</v>
      </c>
      <c r="M79" s="374">
        <f>'6 beruházások'!D18</f>
        <v>45000</v>
      </c>
      <c r="N79" s="374"/>
      <c r="O79" s="374"/>
      <c r="P79" s="374"/>
      <c r="Q79" s="377">
        <f t="shared" si="52"/>
        <v>1844600</v>
      </c>
      <c r="R79" s="748">
        <v>1</v>
      </c>
    </row>
    <row r="80" spans="1:18" ht="26.25" customHeight="1" thickBot="1">
      <c r="A80" s="302">
        <v>15</v>
      </c>
      <c r="B80" s="303"/>
      <c r="C80" s="388" t="s">
        <v>72</v>
      </c>
      <c r="D80" s="749" t="s">
        <v>299</v>
      </c>
      <c r="E80" s="374"/>
      <c r="F80" s="374"/>
      <c r="G80" s="375"/>
      <c r="H80" s="375"/>
      <c r="I80" s="374"/>
      <c r="J80" s="374"/>
      <c r="K80" s="374"/>
      <c r="L80" s="376">
        <f t="shared" si="51"/>
        <v>0</v>
      </c>
      <c r="M80" s="374"/>
      <c r="N80" s="374"/>
      <c r="O80" s="374"/>
      <c r="P80" s="374"/>
      <c r="Q80" s="377">
        <f t="shared" si="52"/>
        <v>0</v>
      </c>
      <c r="R80" s="748"/>
    </row>
    <row r="81" spans="1:21" s="24" customFormat="1" ht="12" customHeight="1" thickBot="1">
      <c r="A81" s="386">
        <v>16</v>
      </c>
      <c r="B81" s="386"/>
      <c r="C81" s="388" t="s">
        <v>73</v>
      </c>
      <c r="D81" s="750" t="s">
        <v>101</v>
      </c>
      <c r="E81" s="376">
        <v>0</v>
      </c>
      <c r="F81" s="376"/>
      <c r="G81" s="374"/>
      <c r="H81" s="374"/>
      <c r="I81" s="374">
        <f>50000+100000+10849</f>
        <v>160849</v>
      </c>
      <c r="J81" s="374">
        <v>0</v>
      </c>
      <c r="K81" s="376"/>
      <c r="L81" s="376">
        <f t="shared" si="51"/>
        <v>160849</v>
      </c>
      <c r="M81" s="376"/>
      <c r="N81" s="376"/>
      <c r="O81" s="376"/>
      <c r="P81" s="376"/>
      <c r="Q81" s="377">
        <f>L81</f>
        <v>160849</v>
      </c>
      <c r="R81" s="748"/>
      <c r="S81" s="97"/>
      <c r="T81" s="115"/>
    </row>
    <row r="82" spans="1:21" s="24" customFormat="1" ht="12" customHeight="1" thickBot="1">
      <c r="A82" s="338">
        <v>17</v>
      </c>
      <c r="B82" s="389"/>
      <c r="C82" s="388" t="s">
        <v>72</v>
      </c>
      <c r="D82" s="751" t="s">
        <v>281</v>
      </c>
      <c r="E82" s="376"/>
      <c r="F82" s="376"/>
      <c r="G82" s="374">
        <v>550000</v>
      </c>
      <c r="H82" s="374"/>
      <c r="I82" s="374"/>
      <c r="J82" s="374"/>
      <c r="K82" s="376"/>
      <c r="L82" s="376">
        <f>G82</f>
        <v>550000</v>
      </c>
      <c r="M82" s="376"/>
      <c r="N82" s="376"/>
      <c r="O82" s="376"/>
      <c r="P82" s="376"/>
      <c r="Q82" s="377"/>
      <c r="R82" s="748"/>
      <c r="S82" s="115"/>
      <c r="T82" s="115"/>
    </row>
    <row r="83" spans="1:21" ht="11.45" customHeight="1" thickBot="1">
      <c r="A83" s="329">
        <v>18</v>
      </c>
      <c r="B83" s="382"/>
      <c r="C83" s="388" t="s">
        <v>72</v>
      </c>
      <c r="D83" s="721" t="s">
        <v>258</v>
      </c>
      <c r="E83" s="374"/>
      <c r="F83" s="374"/>
      <c r="G83" s="375">
        <v>150000</v>
      </c>
      <c r="H83" s="375"/>
      <c r="I83" s="374"/>
      <c r="J83" s="374"/>
      <c r="K83" s="374">
        <v>0</v>
      </c>
      <c r="L83" s="376">
        <f t="shared" si="22"/>
        <v>150000</v>
      </c>
      <c r="M83" s="374"/>
      <c r="N83" s="374"/>
      <c r="O83" s="374"/>
      <c r="P83" s="374"/>
      <c r="Q83" s="377">
        <f t="shared" si="24"/>
        <v>150000</v>
      </c>
      <c r="R83" s="378"/>
    </row>
    <row r="84" spans="1:21" s="24" customFormat="1" ht="12" customHeight="1" thickBot="1">
      <c r="A84" s="908" t="s">
        <v>282</v>
      </c>
      <c r="B84" s="909"/>
      <c r="C84" s="909"/>
      <c r="D84" s="909"/>
      <c r="E84" s="752">
        <f>E85+E86+E87</f>
        <v>52998684</v>
      </c>
      <c r="F84" s="752">
        <f t="shared" ref="F84:K84" si="53">F85+F86+F87</f>
        <v>8901923.0800000001</v>
      </c>
      <c r="G84" s="752">
        <f>G85+G86+G87</f>
        <v>64863535</v>
      </c>
      <c r="H84" s="752">
        <f t="shared" si="53"/>
        <v>1781230</v>
      </c>
      <c r="I84" s="752">
        <f t="shared" si="53"/>
        <v>910849</v>
      </c>
      <c r="J84" s="752">
        <f>J85+J86+J87</f>
        <v>5273411</v>
      </c>
      <c r="K84" s="752">
        <f t="shared" si="53"/>
        <v>5432588</v>
      </c>
      <c r="L84" s="752">
        <f>SUM(E84:K84)</f>
        <v>140162220.07999998</v>
      </c>
      <c r="M84" s="752">
        <f>M85+M86+M87</f>
        <v>420732407</v>
      </c>
      <c r="N84" s="752">
        <f>+N36+N76+N78</f>
        <v>0</v>
      </c>
      <c r="O84" s="752">
        <f>+O36+O76+O78</f>
        <v>0</v>
      </c>
      <c r="P84" s="752">
        <f>+P36+P76+P78</f>
        <v>0</v>
      </c>
      <c r="Q84" s="752">
        <f>SUM(L84:P84)</f>
        <v>560894627.07999992</v>
      </c>
      <c r="R84" s="753">
        <f>R85+R86+R87</f>
        <v>34.5</v>
      </c>
      <c r="S84" s="97"/>
      <c r="T84" s="115"/>
    </row>
    <row r="85" spans="1:21" s="29" customFormat="1" ht="12" customHeight="1" thickBot="1">
      <c r="A85" s="913" t="s">
        <v>83</v>
      </c>
      <c r="B85" s="914"/>
      <c r="C85" s="914"/>
      <c r="D85" s="915"/>
      <c r="E85" s="754">
        <f>E37+E48+E49+E50+E51+E52+E53+E54+E67+E76+E78+E82+E83</f>
        <v>49851546</v>
      </c>
      <c r="F85" s="754">
        <f>F37+F48+F49+F50+F51+F52+F53+F54+F67+F76+F78+F82+F83</f>
        <v>8107879.0800000001</v>
      </c>
      <c r="G85" s="754">
        <f>G37+G48+G49+G50+G51+G52+G53+G54+G67+G76+G78+G82+G83+G80</f>
        <v>49407339</v>
      </c>
      <c r="H85" s="754">
        <f>H37+H48+H49+H50+H51+H52+H53+H54+H67+H76+H78+H82+H83</f>
        <v>971230</v>
      </c>
      <c r="I85" s="754">
        <f>I37+I48+I49+I50+I51+I52+I53+I54+I67+I76+I78+I82+I83</f>
        <v>750000</v>
      </c>
      <c r="J85" s="754">
        <f>J37+J48+J49+J50+J51+J52+J53+J54+J67+J76+J78+J82+J83</f>
        <v>4743411</v>
      </c>
      <c r="K85" s="754">
        <f>K37+K48+K49+K50+K51+K52+K53+K54+K67+K76+K78+K82+K83</f>
        <v>5432588</v>
      </c>
      <c r="L85" s="752">
        <f t="shared" ref="L85:L87" si="54">SUM(E85:K85)</f>
        <v>119263993.08</v>
      </c>
      <c r="M85" s="754">
        <f>M76+M53+M52</f>
        <v>7856068</v>
      </c>
      <c r="N85" s="754">
        <f>N76+N74+N36+N78</f>
        <v>0</v>
      </c>
      <c r="O85" s="754">
        <f>O76+O74+O36+O78</f>
        <v>0</v>
      </c>
      <c r="P85" s="754">
        <f>P76+P74+P36+P78</f>
        <v>0</v>
      </c>
      <c r="Q85" s="754">
        <f>146958685</f>
        <v>146958685</v>
      </c>
      <c r="R85" s="755">
        <f>R78+R76+R66+R48+R36</f>
        <v>33.5</v>
      </c>
      <c r="S85" s="98"/>
      <c r="T85" s="116"/>
    </row>
    <row r="86" spans="1:21" s="29" customFormat="1" ht="12" customHeight="1" thickBot="1">
      <c r="A86" s="910" t="s">
        <v>90</v>
      </c>
      <c r="B86" s="911"/>
      <c r="C86" s="911"/>
      <c r="D86" s="912"/>
      <c r="E86" s="690">
        <v>0</v>
      </c>
      <c r="F86" s="690">
        <v>0</v>
      </c>
      <c r="G86" s="690">
        <v>0</v>
      </c>
      <c r="H86" s="690">
        <v>0</v>
      </c>
      <c r="I86" s="690">
        <v>0</v>
      </c>
      <c r="J86" s="690">
        <v>0</v>
      </c>
      <c r="K86" s="690">
        <v>0</v>
      </c>
      <c r="L86" s="752">
        <f t="shared" si="54"/>
        <v>0</v>
      </c>
      <c r="M86" s="690">
        <v>0</v>
      </c>
      <c r="N86" s="690">
        <v>0</v>
      </c>
      <c r="O86" s="690">
        <v>0</v>
      </c>
      <c r="P86" s="690">
        <v>0</v>
      </c>
      <c r="Q86" s="690">
        <f>SUM(L86:P86)</f>
        <v>0</v>
      </c>
      <c r="R86" s="756">
        <v>0</v>
      </c>
      <c r="S86" s="98"/>
      <c r="T86" s="116"/>
    </row>
    <row r="87" spans="1:21" s="29" customFormat="1" ht="12" customHeight="1" thickBot="1">
      <c r="A87" s="905" t="s">
        <v>84</v>
      </c>
      <c r="B87" s="906"/>
      <c r="C87" s="906"/>
      <c r="D87" s="907"/>
      <c r="E87" s="757">
        <f>E81+E68+E56+E55+E41+E79</f>
        <v>3147138</v>
      </c>
      <c r="F87" s="757">
        <f t="shared" ref="F87:G87" si="55">F81+F68+F56+F55+F41+F79</f>
        <v>794044</v>
      </c>
      <c r="G87" s="757">
        <f t="shared" si="55"/>
        <v>15456196</v>
      </c>
      <c r="H87" s="757">
        <f t="shared" ref="H87:K87" si="56">H81+H68+H56+H55+H41</f>
        <v>810000</v>
      </c>
      <c r="I87" s="757">
        <f t="shared" si="56"/>
        <v>160849</v>
      </c>
      <c r="J87" s="757">
        <f t="shared" si="56"/>
        <v>530000</v>
      </c>
      <c r="K87" s="757">
        <f t="shared" si="56"/>
        <v>0</v>
      </c>
      <c r="L87" s="752">
        <f t="shared" si="54"/>
        <v>20898227</v>
      </c>
      <c r="M87" s="757">
        <f>M81+M68+M56+M38+M38+M50+M79-M76</f>
        <v>412876339</v>
      </c>
      <c r="N87" s="757">
        <f t="shared" ref="N87:P87" si="57">N83+N81</f>
        <v>0</v>
      </c>
      <c r="O87" s="757">
        <f t="shared" si="57"/>
        <v>0</v>
      </c>
      <c r="P87" s="757">
        <f t="shared" si="57"/>
        <v>0</v>
      </c>
      <c r="Q87" s="757">
        <f>L87+M87</f>
        <v>433774566</v>
      </c>
      <c r="R87" s="758">
        <f>R79</f>
        <v>1</v>
      </c>
      <c r="S87" s="393"/>
      <c r="T87" s="394"/>
    </row>
    <row r="88" spans="1:21" s="24" customFormat="1" ht="12" customHeight="1">
      <c r="A88" s="916" t="s">
        <v>62</v>
      </c>
      <c r="B88" s="917"/>
      <c r="C88" s="917"/>
      <c r="D88" s="917"/>
      <c r="E88" s="917"/>
      <c r="F88" s="917"/>
      <c r="G88" s="917"/>
      <c r="H88" s="917"/>
      <c r="I88" s="917"/>
      <c r="J88" s="917"/>
      <c r="K88" s="917"/>
      <c r="L88" s="917"/>
      <c r="M88" s="917"/>
      <c r="N88" s="917"/>
      <c r="O88" s="917"/>
      <c r="P88" s="917"/>
      <c r="Q88" s="917"/>
      <c r="R88" s="917"/>
      <c r="S88" s="97"/>
      <c r="T88" s="115"/>
    </row>
    <row r="89" spans="1:21" s="24" customFormat="1" ht="24.75" customHeight="1">
      <c r="A89" s="340">
        <v>19</v>
      </c>
      <c r="B89" s="341"/>
      <c r="C89" s="342" t="s">
        <v>72</v>
      </c>
      <c r="D89" s="759" t="s">
        <v>241</v>
      </c>
      <c r="E89" s="325"/>
      <c r="F89" s="325"/>
      <c r="G89" s="325"/>
      <c r="H89" s="325"/>
      <c r="I89" s="581">
        <f>75000000+25000000</f>
        <v>100000000</v>
      </c>
      <c r="J89" s="325"/>
      <c r="K89" s="325"/>
      <c r="L89" s="325">
        <f>SUM(E89:K89)</f>
        <v>100000000</v>
      </c>
      <c r="M89" s="581"/>
      <c r="N89" s="760"/>
      <c r="O89" s="325">
        <v>0</v>
      </c>
      <c r="P89" s="325"/>
      <c r="Q89" s="326">
        <f>L89+M89+N89+O89+P89</f>
        <v>100000000</v>
      </c>
      <c r="R89" s="327">
        <v>0</v>
      </c>
      <c r="S89" s="97"/>
      <c r="T89" s="115"/>
    </row>
    <row r="90" spans="1:21" s="24" customFormat="1" ht="25.5" customHeight="1" thickBot="1">
      <c r="A90" s="340">
        <v>20</v>
      </c>
      <c r="B90" s="341"/>
      <c r="C90" s="342" t="s">
        <v>72</v>
      </c>
      <c r="D90" s="761" t="s">
        <v>242</v>
      </c>
      <c r="E90" s="325"/>
      <c r="F90" s="325"/>
      <c r="G90" s="323"/>
      <c r="H90" s="325"/>
      <c r="I90" s="325"/>
      <c r="J90" s="325">
        <f>7794568+754621</f>
        <v>8549189</v>
      </c>
      <c r="K90" s="325"/>
      <c r="L90" s="325">
        <f>J90</f>
        <v>8549189</v>
      </c>
      <c r="M90" s="762"/>
      <c r="N90" s="763"/>
      <c r="O90" s="325"/>
      <c r="P90" s="325"/>
      <c r="Q90" s="326">
        <f>L90+M90+N90+O90+P90</f>
        <v>8549189</v>
      </c>
      <c r="R90" s="327"/>
      <c r="S90" s="97"/>
      <c r="T90" s="115"/>
    </row>
    <row r="91" spans="1:21" ht="36" customHeight="1" thickBot="1">
      <c r="A91" s="897" t="s">
        <v>333</v>
      </c>
      <c r="B91" s="898"/>
      <c r="C91" s="898"/>
      <c r="D91" s="899"/>
      <c r="E91" s="752">
        <f>E84+E89+E90</f>
        <v>52998684</v>
      </c>
      <c r="F91" s="752">
        <f t="shared" ref="F91:K91" si="58">F84+F89+F90</f>
        <v>8901923.0800000001</v>
      </c>
      <c r="G91" s="752">
        <f t="shared" si="58"/>
        <v>64863535</v>
      </c>
      <c r="H91" s="752">
        <f t="shared" si="58"/>
        <v>1781230</v>
      </c>
      <c r="I91" s="752">
        <f>I84+I90+I89</f>
        <v>100910849</v>
      </c>
      <c r="J91" s="752">
        <f>J84+J89+J90</f>
        <v>13822600</v>
      </c>
      <c r="K91" s="752">
        <f t="shared" si="58"/>
        <v>5432588</v>
      </c>
      <c r="L91" s="752">
        <f>SUM(E91:K91)</f>
        <v>248711409.07999998</v>
      </c>
      <c r="M91" s="764">
        <f>M84</f>
        <v>420732407</v>
      </c>
      <c r="N91" s="764">
        <v>0</v>
      </c>
      <c r="O91" s="752">
        <f t="shared" ref="O91:P91" si="59">O84+O88+O89</f>
        <v>0</v>
      </c>
      <c r="P91" s="752">
        <f t="shared" si="59"/>
        <v>0</v>
      </c>
      <c r="Q91" s="752">
        <f>SUM(L91:P91)</f>
        <v>669443816.07999992</v>
      </c>
      <c r="R91" s="765">
        <v>52.5</v>
      </c>
      <c r="S91" s="99"/>
      <c r="T91" s="217"/>
    </row>
    <row r="92" spans="1:21" ht="12.75" customHeight="1" thickBot="1">
      <c r="A92" s="900" t="s">
        <v>150</v>
      </c>
      <c r="B92" s="901"/>
      <c r="C92" s="901"/>
      <c r="D92" s="901"/>
      <c r="E92" s="766">
        <f t="shared" ref="E92:K92" si="60">E30+E84</f>
        <v>151237337</v>
      </c>
      <c r="F92" s="766">
        <f t="shared" si="60"/>
        <v>29010597.32</v>
      </c>
      <c r="G92" s="766">
        <f t="shared" si="60"/>
        <v>108977949</v>
      </c>
      <c r="H92" s="766">
        <f t="shared" si="60"/>
        <v>3600230</v>
      </c>
      <c r="I92" s="766">
        <f>I93+I95</f>
        <v>100910849</v>
      </c>
      <c r="J92" s="766">
        <f t="shared" si="60"/>
        <v>5273411</v>
      </c>
      <c r="K92" s="766">
        <f t="shared" si="60"/>
        <v>5432588</v>
      </c>
      <c r="L92" s="766">
        <f>L93+L95</f>
        <v>412992150.31999999</v>
      </c>
      <c r="M92" s="767">
        <f>M30+M91</f>
        <v>424100407</v>
      </c>
      <c r="N92" s="766">
        <f>N30+N91</f>
        <v>0</v>
      </c>
      <c r="O92" s="766">
        <f>O30+O91</f>
        <v>0</v>
      </c>
      <c r="P92" s="766">
        <f>P30+P91</f>
        <v>0</v>
      </c>
      <c r="Q92" s="768">
        <f>SUM(L92:P92)</f>
        <v>837092557.31999993</v>
      </c>
      <c r="R92" s="769">
        <f>R93+R94+R95</f>
        <v>68</v>
      </c>
      <c r="S92" s="99"/>
      <c r="T92" s="117"/>
    </row>
    <row r="93" spans="1:21" s="27" customFormat="1" ht="12.75" customHeight="1" thickBot="1">
      <c r="A93" s="895" t="s">
        <v>83</v>
      </c>
      <c r="B93" s="896"/>
      <c r="C93" s="896"/>
      <c r="D93" s="896"/>
      <c r="E93" s="770">
        <f>E85+E31</f>
        <v>134392331</v>
      </c>
      <c r="F93" s="770">
        <f t="shared" ref="F93:H93" si="61">F85+F31</f>
        <v>25244777.32</v>
      </c>
      <c r="G93" s="770">
        <f t="shared" si="61"/>
        <v>90475783</v>
      </c>
      <c r="H93" s="770">
        <f t="shared" si="61"/>
        <v>2790230</v>
      </c>
      <c r="I93" s="771">
        <f>I85+I31+I89</f>
        <v>100750000</v>
      </c>
      <c r="J93" s="772">
        <f>J85+J31+J90</f>
        <v>13292600</v>
      </c>
      <c r="K93" s="770">
        <f>K85+K31</f>
        <v>5432588</v>
      </c>
      <c r="L93" s="773">
        <f>SUM(E93:K93)</f>
        <v>372378309.31999999</v>
      </c>
      <c r="M93" s="770">
        <f>M85+M31</f>
        <v>10224068</v>
      </c>
      <c r="N93" s="770">
        <f>N85+N31</f>
        <v>0</v>
      </c>
      <c r="O93" s="770">
        <f>O85+O31</f>
        <v>0</v>
      </c>
      <c r="P93" s="770">
        <f>P85+P31</f>
        <v>0</v>
      </c>
      <c r="Q93" s="773">
        <f>L93+M93+O93+P93</f>
        <v>382602377.31999999</v>
      </c>
      <c r="R93" s="774">
        <f>R31+R85</f>
        <v>63.75</v>
      </c>
      <c r="S93" s="100"/>
      <c r="T93" s="118"/>
    </row>
    <row r="94" spans="1:21" s="27" customFormat="1" ht="12.75" customHeight="1" thickBot="1">
      <c r="A94" s="902" t="s">
        <v>90</v>
      </c>
      <c r="B94" s="903"/>
      <c r="C94" s="903"/>
      <c r="D94" s="904"/>
      <c r="E94" s="775">
        <v>0</v>
      </c>
      <c r="F94" s="775">
        <v>0</v>
      </c>
      <c r="G94" s="775">
        <v>0</v>
      </c>
      <c r="H94" s="775">
        <v>0</v>
      </c>
      <c r="I94" s="776">
        <v>0</v>
      </c>
      <c r="J94" s="777">
        <v>0</v>
      </c>
      <c r="K94" s="770">
        <v>0</v>
      </c>
      <c r="L94" s="773">
        <f>SUM(E94:K94)</f>
        <v>0</v>
      </c>
      <c r="M94" s="778">
        <f>M86+M32</f>
        <v>0</v>
      </c>
      <c r="N94" s="779">
        <v>0</v>
      </c>
      <c r="O94" s="779">
        <v>0</v>
      </c>
      <c r="P94" s="779">
        <v>0</v>
      </c>
      <c r="Q94" s="780">
        <f>SUM(L94:P94)</f>
        <v>0</v>
      </c>
      <c r="R94" s="781">
        <v>0</v>
      </c>
      <c r="S94" s="100"/>
      <c r="T94" s="118"/>
      <c r="U94" s="88"/>
    </row>
    <row r="95" spans="1:21" s="27" customFormat="1" ht="12.75" customHeight="1" thickBot="1">
      <c r="A95" s="895" t="s">
        <v>84</v>
      </c>
      <c r="B95" s="896"/>
      <c r="C95" s="896"/>
      <c r="D95" s="896"/>
      <c r="E95" s="770">
        <f>E87+E33</f>
        <v>16845006</v>
      </c>
      <c r="F95" s="770">
        <f t="shared" ref="F95:H95" si="62">F87+F33</f>
        <v>3765820</v>
      </c>
      <c r="G95" s="770">
        <f>G87+G33</f>
        <v>18502166</v>
      </c>
      <c r="H95" s="770">
        <f t="shared" si="62"/>
        <v>810000</v>
      </c>
      <c r="I95" s="771">
        <f>I87+I33</f>
        <v>160849</v>
      </c>
      <c r="J95" s="782">
        <f>J87+J33</f>
        <v>530000</v>
      </c>
      <c r="K95" s="783">
        <f>K87+K33</f>
        <v>0</v>
      </c>
      <c r="L95" s="784">
        <f>SUM(E95:K95)+G89</f>
        <v>40613841</v>
      </c>
      <c r="M95" s="775">
        <f>M87+M33</f>
        <v>413876339</v>
      </c>
      <c r="N95" s="770">
        <f>N87+N33</f>
        <v>0</v>
      </c>
      <c r="O95" s="770">
        <f>O87+O33</f>
        <v>0</v>
      </c>
      <c r="P95" s="775">
        <f>P87+P33</f>
        <v>0</v>
      </c>
      <c r="Q95" s="785">
        <f>SUM(L95:P95)+1</f>
        <v>454490181</v>
      </c>
      <c r="R95" s="786">
        <f>R33+R87</f>
        <v>4.25</v>
      </c>
      <c r="S95" s="100"/>
      <c r="T95" s="118"/>
    </row>
    <row r="96" spans="1:21" ht="12.75" customHeight="1">
      <c r="A96" s="304"/>
      <c r="B96" s="305"/>
      <c r="M96" s="788"/>
      <c r="P96" s="788"/>
    </row>
    <row r="97" spans="1:18" ht="21" customHeight="1">
      <c r="A97" s="304"/>
      <c r="B97" s="305"/>
      <c r="E97" s="790"/>
      <c r="F97" s="790"/>
      <c r="G97" s="790"/>
      <c r="H97" s="790"/>
      <c r="I97" s="790"/>
      <c r="J97" s="790"/>
      <c r="K97" s="790"/>
      <c r="L97" s="791"/>
      <c r="M97" s="790"/>
      <c r="N97" s="790"/>
      <c r="O97" s="790"/>
      <c r="P97" s="790"/>
      <c r="Q97" s="791"/>
    </row>
    <row r="98" spans="1:18" ht="12.75" customHeight="1">
      <c r="E98" s="790"/>
      <c r="F98" s="790"/>
      <c r="G98" s="790"/>
      <c r="H98" s="790"/>
      <c r="I98" s="790"/>
      <c r="J98" s="790"/>
      <c r="K98" s="790"/>
      <c r="L98" s="790"/>
      <c r="M98" s="790"/>
      <c r="N98" s="790"/>
      <c r="O98" s="790"/>
      <c r="P98" s="790"/>
      <c r="Q98" s="791"/>
      <c r="R98" s="719"/>
    </row>
    <row r="99" spans="1:18" ht="12.75" customHeight="1">
      <c r="E99" s="790"/>
      <c r="F99" s="790"/>
      <c r="G99" s="790"/>
      <c r="H99" s="790"/>
      <c r="I99" s="790"/>
      <c r="J99" s="790"/>
      <c r="K99" s="790"/>
      <c r="L99" s="790"/>
      <c r="M99" s="790"/>
      <c r="N99" s="790"/>
      <c r="O99" s="790"/>
      <c r="P99" s="790"/>
      <c r="Q99" s="791"/>
      <c r="R99" s="719"/>
    </row>
    <row r="100" spans="1:18" ht="12.75" customHeight="1">
      <c r="E100" s="790"/>
      <c r="F100" s="790"/>
      <c r="G100" s="790"/>
      <c r="H100" s="790"/>
      <c r="I100" s="790"/>
      <c r="J100" s="790"/>
      <c r="K100" s="790"/>
      <c r="L100" s="791"/>
      <c r="M100" s="790"/>
      <c r="N100" s="790"/>
      <c r="O100" s="790"/>
      <c r="P100" s="790"/>
      <c r="Q100" s="791"/>
      <c r="R100" s="719"/>
    </row>
    <row r="101" spans="1:18" ht="12.75" customHeight="1">
      <c r="E101" s="790"/>
      <c r="F101" s="790"/>
      <c r="G101" s="790"/>
      <c r="H101" s="790"/>
      <c r="I101" s="790"/>
      <c r="J101" s="790"/>
      <c r="K101" s="790"/>
      <c r="L101" s="791"/>
      <c r="M101" s="790"/>
      <c r="N101" s="790"/>
      <c r="O101" s="790"/>
      <c r="P101" s="790"/>
      <c r="Q101" s="791"/>
      <c r="R101" s="792"/>
    </row>
    <row r="102" spans="1:18" ht="12.75" customHeight="1">
      <c r="E102" s="790"/>
      <c r="F102" s="790"/>
      <c r="G102" s="790"/>
      <c r="H102" s="790"/>
      <c r="I102" s="790"/>
      <c r="J102" s="790"/>
      <c r="K102" s="790"/>
      <c r="L102" s="790"/>
      <c r="M102" s="790"/>
      <c r="N102" s="790"/>
      <c r="O102" s="790"/>
      <c r="P102" s="790"/>
      <c r="Q102" s="791"/>
      <c r="R102" s="719"/>
    </row>
    <row r="103" spans="1:18" ht="12.75" customHeight="1">
      <c r="E103" s="790"/>
      <c r="F103" s="790"/>
      <c r="G103" s="790"/>
      <c r="H103" s="790"/>
      <c r="I103" s="790"/>
      <c r="J103" s="790"/>
      <c r="K103" s="790"/>
      <c r="L103" s="790"/>
      <c r="M103" s="790"/>
      <c r="N103" s="790"/>
      <c r="O103" s="790"/>
      <c r="P103" s="790"/>
      <c r="Q103" s="791"/>
      <c r="R103" s="719"/>
    </row>
    <row r="104" spans="1:18" ht="12.75" customHeight="1">
      <c r="E104" s="790"/>
      <c r="F104" s="790"/>
      <c r="G104" s="790"/>
      <c r="H104" s="790"/>
      <c r="I104" s="790"/>
      <c r="J104" s="790"/>
      <c r="K104" s="790"/>
      <c r="L104" s="791"/>
      <c r="M104" s="790"/>
      <c r="N104" s="790"/>
      <c r="O104" s="790"/>
      <c r="P104" s="790"/>
      <c r="Q104" s="791"/>
      <c r="R104" s="792"/>
    </row>
    <row r="105" spans="1:18" ht="12.75" customHeight="1">
      <c r="E105" s="790"/>
      <c r="F105" s="790"/>
      <c r="G105" s="790"/>
      <c r="H105" s="790"/>
      <c r="I105" s="790"/>
      <c r="J105" s="790"/>
      <c r="K105" s="790"/>
      <c r="L105" s="791"/>
      <c r="M105" s="790"/>
      <c r="N105" s="790"/>
      <c r="O105" s="790"/>
      <c r="P105" s="790"/>
      <c r="Q105" s="791"/>
      <c r="R105" s="719"/>
    </row>
    <row r="106" spans="1:18" ht="12.75" customHeight="1">
      <c r="R106" s="719"/>
    </row>
    <row r="107" spans="1:18" ht="12.75" customHeight="1">
      <c r="R107" s="793"/>
    </row>
    <row r="108" spans="1:18" ht="12.75" customHeight="1">
      <c r="R108" s="719"/>
    </row>
    <row r="109" spans="1:18" ht="12.75" customHeight="1">
      <c r="R109" s="719"/>
    </row>
    <row r="110" spans="1:18" ht="12.75" customHeight="1">
      <c r="R110" s="719"/>
    </row>
    <row r="111" spans="1:18" ht="12.75" customHeight="1">
      <c r="R111" s="793"/>
    </row>
    <row r="112" spans="1:18" ht="12.75" customHeight="1">
      <c r="R112" s="719"/>
    </row>
    <row r="113" spans="18:18" ht="12.75" customHeight="1">
      <c r="R113" s="792"/>
    </row>
    <row r="114" spans="18:18" ht="12.75" customHeight="1">
      <c r="R114" s="792"/>
    </row>
  </sheetData>
  <sortState ref="D51:R59">
    <sortCondition ref="D51"/>
  </sortState>
  <mergeCells count="27">
    <mergeCell ref="N1:R1"/>
    <mergeCell ref="A31:D31"/>
    <mergeCell ref="A33:D33"/>
    <mergeCell ref="A6:B6"/>
    <mergeCell ref="C5:C7"/>
    <mergeCell ref="A30:D30"/>
    <mergeCell ref="N5:P5"/>
    <mergeCell ref="N6:N7"/>
    <mergeCell ref="I5:K5"/>
    <mergeCell ref="A5:B5"/>
    <mergeCell ref="A7:B7"/>
    <mergeCell ref="K6:K7"/>
    <mergeCell ref="P6:P7"/>
    <mergeCell ref="J6:J7"/>
    <mergeCell ref="O6:O7"/>
    <mergeCell ref="A32:D32"/>
    <mergeCell ref="I6:I7"/>
    <mergeCell ref="A95:D95"/>
    <mergeCell ref="A91:D91"/>
    <mergeCell ref="A92:D92"/>
    <mergeCell ref="A94:D94"/>
    <mergeCell ref="A93:D93"/>
    <mergeCell ref="A87:D87"/>
    <mergeCell ref="A84:D84"/>
    <mergeCell ref="A86:D86"/>
    <mergeCell ref="A85:D85"/>
    <mergeCell ref="A88:R88"/>
  </mergeCells>
  <phoneticPr fontId="1" type="noConversion"/>
  <printOptions horizontalCentered="1" verticalCentered="1"/>
  <pageMargins left="0.39370078740157483" right="0.39370078740157483" top="0.39370078740157483" bottom="0.39370078740157483" header="0" footer="0"/>
  <pageSetup paperSize="9" scale="84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topLeftCell="A43" zoomScaleSheetLayoutView="100" workbookViewId="0">
      <selection activeCell="C15" sqref="C15"/>
    </sheetView>
  </sheetViews>
  <sheetFormatPr defaultRowHeight="12" customHeight="1"/>
  <cols>
    <col min="1" max="1" width="3.28515625" style="111" customWidth="1"/>
    <col min="2" max="2" width="3.140625" style="360" customWidth="1"/>
    <col min="3" max="3" width="91.28515625" style="361" customWidth="1"/>
    <col min="4" max="4" width="14.140625" style="110" customWidth="1"/>
    <col min="5" max="5" width="9.140625" style="16"/>
    <col min="6" max="6" width="11.28515625" style="16" customWidth="1"/>
    <col min="7" max="7" width="10.7109375" style="16" customWidth="1"/>
    <col min="8" max="16384" width="9.140625" style="16"/>
  </cols>
  <sheetData>
    <row r="1" spans="1:7" ht="12" customHeight="1">
      <c r="C1" s="947"/>
      <c r="D1" s="947"/>
    </row>
    <row r="2" spans="1:7" ht="12" customHeight="1">
      <c r="D2" s="111"/>
    </row>
    <row r="3" spans="1:7" ht="30" customHeight="1">
      <c r="D3" s="111"/>
    </row>
    <row r="4" spans="1:7" ht="16.5" customHeight="1" thickBot="1"/>
    <row r="5" spans="1:7" s="17" customFormat="1" ht="18.75" customHeight="1">
      <c r="A5" s="948" t="s">
        <v>27</v>
      </c>
      <c r="B5" s="949"/>
      <c r="C5" s="950"/>
      <c r="D5" s="400"/>
    </row>
    <row r="6" spans="1:7" s="18" customFormat="1" ht="12.75" customHeight="1">
      <c r="A6" s="587" t="s">
        <v>33</v>
      </c>
      <c r="B6" s="401"/>
      <c r="C6" s="402" t="s">
        <v>36</v>
      </c>
      <c r="D6" s="432">
        <f>D8+D31</f>
        <v>289374809</v>
      </c>
    </row>
    <row r="7" spans="1:7" s="18" customFormat="1" ht="8.25" customHeight="1">
      <c r="A7" s="587"/>
      <c r="B7" s="401"/>
      <c r="C7" s="402"/>
      <c r="D7" s="432"/>
    </row>
    <row r="8" spans="1:7" s="17" customFormat="1" ht="15" customHeight="1">
      <c r="A8" s="588"/>
      <c r="B8" s="403" t="s">
        <v>15</v>
      </c>
      <c r="C8" s="404" t="s">
        <v>88</v>
      </c>
      <c r="D8" s="432">
        <f>D9+D23+D25+D29</f>
        <v>49198406</v>
      </c>
      <c r="G8" s="284"/>
    </row>
    <row r="9" spans="1:7" s="17" customFormat="1" ht="15" customHeight="1">
      <c r="A9" s="588"/>
      <c r="B9" s="403"/>
      <c r="C9" s="405" t="s">
        <v>261</v>
      </c>
      <c r="D9" s="433">
        <f>D10+D11+D15+D16+D17+D18</f>
        <v>45830406</v>
      </c>
      <c r="F9" s="591"/>
      <c r="G9" s="284"/>
    </row>
    <row r="10" spans="1:7" s="17" customFormat="1" ht="15" customHeight="1">
      <c r="A10" s="588"/>
      <c r="B10" s="403"/>
      <c r="C10" s="406" t="s">
        <v>314</v>
      </c>
      <c r="D10" s="434">
        <f>37454000+1781406</f>
        <v>39235406</v>
      </c>
      <c r="F10" s="591"/>
    </row>
    <row r="11" spans="1:7" s="17" customFormat="1" ht="15" customHeight="1">
      <c r="A11" s="588"/>
      <c r="B11" s="403"/>
      <c r="C11" s="406" t="s">
        <v>313</v>
      </c>
      <c r="D11" s="434">
        <f>D12+D13+D14</f>
        <v>250000</v>
      </c>
    </row>
    <row r="12" spans="1:7" s="17" customFormat="1" ht="15" customHeight="1">
      <c r="A12" s="588"/>
      <c r="B12" s="403"/>
      <c r="C12" s="406" t="s">
        <v>342</v>
      </c>
      <c r="D12" s="592">
        <f>97000*1.27</f>
        <v>123190</v>
      </c>
      <c r="F12" s="591"/>
    </row>
    <row r="13" spans="1:7" s="17" customFormat="1" ht="15" customHeight="1">
      <c r="A13" s="588"/>
      <c r="B13" s="403"/>
      <c r="C13" s="406" t="s">
        <v>343</v>
      </c>
      <c r="D13" s="592">
        <f>27000*1.27</f>
        <v>34290</v>
      </c>
    </row>
    <row r="14" spans="1:7" s="17" customFormat="1" ht="15" customHeight="1">
      <c r="A14" s="588"/>
      <c r="B14" s="403"/>
      <c r="C14" s="406" t="s">
        <v>344</v>
      </c>
      <c r="D14" s="592">
        <f>250000-D12-D13</f>
        <v>92520</v>
      </c>
    </row>
    <row r="15" spans="1:7" s="17" customFormat="1" ht="15" customHeight="1">
      <c r="A15" s="588"/>
      <c r="B15" s="403"/>
      <c r="C15" s="406" t="s">
        <v>339</v>
      </c>
      <c r="D15" s="434">
        <v>3000000</v>
      </c>
      <c r="F15" s="591"/>
    </row>
    <row r="16" spans="1:7" s="17" customFormat="1" ht="15" customHeight="1">
      <c r="A16" s="588"/>
      <c r="B16" s="403"/>
      <c r="C16" s="406" t="s">
        <v>349</v>
      </c>
      <c r="D16" s="434">
        <v>1000000</v>
      </c>
    </row>
    <row r="17" spans="1:7" s="17" customFormat="1" ht="15" customHeight="1">
      <c r="A17" s="588"/>
      <c r="B17" s="403"/>
      <c r="C17" s="406" t="s">
        <v>345</v>
      </c>
      <c r="D17" s="434">
        <v>2300000</v>
      </c>
    </row>
    <row r="18" spans="1:7" s="17" customFormat="1" ht="15" customHeight="1">
      <c r="A18" s="588"/>
      <c r="B18" s="403"/>
      <c r="C18" s="406" t="s">
        <v>347</v>
      </c>
      <c r="D18" s="434">
        <v>45000</v>
      </c>
    </row>
    <row r="19" spans="1:7" s="19" customFormat="1" ht="12.75">
      <c r="A19" s="407"/>
      <c r="B19" s="408"/>
      <c r="C19" s="409" t="s">
        <v>65</v>
      </c>
      <c r="D19" s="435">
        <f>D20</f>
        <v>1306068</v>
      </c>
    </row>
    <row r="20" spans="1:7" s="19" customFormat="1" ht="12.75">
      <c r="A20" s="588"/>
      <c r="B20" s="413"/>
      <c r="C20" s="410" t="s">
        <v>321</v>
      </c>
      <c r="D20" s="436">
        <v>1306068</v>
      </c>
      <c r="E20" s="279"/>
    </row>
    <row r="21" spans="1:7" s="19" customFormat="1" ht="12.75">
      <c r="A21" s="588"/>
      <c r="B21" s="413"/>
      <c r="C21" s="409" t="s">
        <v>323</v>
      </c>
      <c r="D21" s="435">
        <f>D22</f>
        <v>114000</v>
      </c>
      <c r="E21" s="279"/>
    </row>
    <row r="22" spans="1:7" s="19" customFormat="1" ht="12.75">
      <c r="A22" s="588"/>
      <c r="B22" s="413"/>
      <c r="C22" s="410" t="s">
        <v>322</v>
      </c>
      <c r="D22" s="437">
        <v>114000</v>
      </c>
      <c r="F22" s="279"/>
      <c r="G22" s="280"/>
    </row>
    <row r="23" spans="1:7" s="19" customFormat="1" ht="13.5">
      <c r="A23" s="588"/>
      <c r="B23" s="413"/>
      <c r="C23" s="411" t="s">
        <v>234</v>
      </c>
      <c r="D23" s="438">
        <f>SUM(D24:D24)</f>
        <v>2000000</v>
      </c>
      <c r="F23" s="279"/>
    </row>
    <row r="24" spans="1:7" s="19" customFormat="1" ht="12.75">
      <c r="A24" s="588"/>
      <c r="B24" s="413"/>
      <c r="C24" s="412" t="s">
        <v>313</v>
      </c>
      <c r="D24" s="434">
        <v>2000000</v>
      </c>
      <c r="E24" s="279"/>
    </row>
    <row r="25" spans="1:7" s="312" customFormat="1" ht="13.5">
      <c r="A25" s="588"/>
      <c r="B25" s="413"/>
      <c r="C25" s="411" t="s">
        <v>260</v>
      </c>
      <c r="D25" s="438">
        <f>D26+D27+D28</f>
        <v>868000</v>
      </c>
    </row>
    <row r="26" spans="1:7" s="312" customFormat="1" ht="12.75">
      <c r="A26" s="588"/>
      <c r="B26" s="413"/>
      <c r="C26" s="414" t="s">
        <v>329</v>
      </c>
      <c r="D26" s="436">
        <f>288000-D27</f>
        <v>83530</v>
      </c>
    </row>
    <row r="27" spans="1:7" s="312" customFormat="1" ht="12.75">
      <c r="A27" s="588"/>
      <c r="B27" s="413"/>
      <c r="C27" s="410" t="s">
        <v>335</v>
      </c>
      <c r="D27" s="436">
        <f>161000*1.27</f>
        <v>204470</v>
      </c>
    </row>
    <row r="28" spans="1:7" s="312" customFormat="1" ht="12.75">
      <c r="A28" s="588"/>
      <c r="B28" s="413"/>
      <c r="C28" s="410" t="s">
        <v>341</v>
      </c>
      <c r="D28" s="436">
        <v>580000</v>
      </c>
    </row>
    <row r="29" spans="1:7" s="19" customFormat="1" ht="13.5">
      <c r="A29" s="588"/>
      <c r="B29" s="413"/>
      <c r="C29" s="415" t="s">
        <v>235</v>
      </c>
      <c r="D29" s="439">
        <f>D30</f>
        <v>500000</v>
      </c>
    </row>
    <row r="30" spans="1:7" s="19" customFormat="1" ht="12.75">
      <c r="A30" s="588"/>
      <c r="B30" s="413"/>
      <c r="C30" s="410" t="s">
        <v>313</v>
      </c>
      <c r="D30" s="436">
        <v>500000</v>
      </c>
    </row>
    <row r="31" spans="1:7" s="218" customFormat="1" ht="18" customHeight="1" thickBot="1">
      <c r="A31" s="588"/>
      <c r="B31" s="403" t="s">
        <v>16</v>
      </c>
      <c r="C31" s="416" t="s">
        <v>85</v>
      </c>
      <c r="D31" s="432">
        <f>D32</f>
        <v>240176403</v>
      </c>
    </row>
    <row r="32" spans="1:7" s="19" customFormat="1" ht="18" customHeight="1">
      <c r="A32" s="588"/>
      <c r="B32" s="403">
        <v>1</v>
      </c>
      <c r="C32" s="402" t="s">
        <v>262</v>
      </c>
      <c r="D32" s="436">
        <f>SUM(D33+D37+D38+D40+D41+D42)</f>
        <v>240176403</v>
      </c>
    </row>
    <row r="33" spans="1:8" s="19" customFormat="1" ht="13.5" customHeight="1">
      <c r="A33" s="588"/>
      <c r="B33" s="417"/>
      <c r="C33" s="409" t="s">
        <v>317</v>
      </c>
      <c r="D33" s="440">
        <f>D35+D36+D34</f>
        <v>71755290</v>
      </c>
    </row>
    <row r="34" spans="1:8" s="19" customFormat="1" ht="13.5" customHeight="1">
      <c r="A34" s="588"/>
      <c r="B34" s="418"/>
      <c r="C34" s="412" t="s">
        <v>320</v>
      </c>
      <c r="D34" s="434">
        <f>1581050+750000+200000</f>
        <v>2531050</v>
      </c>
    </row>
    <row r="35" spans="1:8" s="19" customFormat="1" ht="12" customHeight="1">
      <c r="A35" s="588"/>
      <c r="B35" s="403"/>
      <c r="C35" s="410" t="s">
        <v>318</v>
      </c>
      <c r="D35" s="436">
        <v>65532000</v>
      </c>
    </row>
    <row r="36" spans="1:8" s="19" customFormat="1" ht="12.75" customHeight="1">
      <c r="A36" s="588"/>
      <c r="B36" s="403"/>
      <c r="C36" s="410" t="s">
        <v>319</v>
      </c>
      <c r="D36" s="436">
        <v>3692240</v>
      </c>
    </row>
    <row r="37" spans="1:8" s="19" customFormat="1" ht="15.75" customHeight="1">
      <c r="A37" s="588"/>
      <c r="B37" s="419"/>
      <c r="C37" s="420" t="s">
        <v>294</v>
      </c>
      <c r="D37" s="440">
        <f>124844972+2837856+3094638+4000000</f>
        <v>134777466</v>
      </c>
      <c r="F37" s="279"/>
    </row>
    <row r="38" spans="1:8" s="19" customFormat="1" ht="15.75" customHeight="1">
      <c r="A38" s="588"/>
      <c r="B38" s="419"/>
      <c r="C38" s="420" t="s">
        <v>301</v>
      </c>
      <c r="D38" s="440">
        <f>D39</f>
        <v>10740000</v>
      </c>
      <c r="F38" s="279"/>
    </row>
    <row r="39" spans="1:8" s="19" customFormat="1" ht="15.75" customHeight="1">
      <c r="A39" s="588"/>
      <c r="B39" s="419"/>
      <c r="C39" s="421" t="s">
        <v>302</v>
      </c>
      <c r="D39" s="436">
        <v>10740000</v>
      </c>
      <c r="F39" s="279"/>
    </row>
    <row r="40" spans="1:8" s="19" customFormat="1" ht="15.75" customHeight="1">
      <c r="A40" s="588"/>
      <c r="B40" s="419"/>
      <c r="C40" s="416" t="s">
        <v>326</v>
      </c>
      <c r="D40" s="432">
        <v>8769066</v>
      </c>
      <c r="F40" s="279"/>
    </row>
    <row r="41" spans="1:8" s="19" customFormat="1" ht="15.75" customHeight="1">
      <c r="A41" s="588"/>
      <c r="B41" s="419"/>
      <c r="C41" s="416" t="s">
        <v>328</v>
      </c>
      <c r="D41" s="432">
        <v>750000</v>
      </c>
    </row>
    <row r="42" spans="1:8" s="312" customFormat="1" ht="12" customHeight="1">
      <c r="A42" s="588"/>
      <c r="B42" s="419"/>
      <c r="C42" s="422" t="s">
        <v>315</v>
      </c>
      <c r="D42" s="440">
        <f>13384581</f>
        <v>13384581</v>
      </c>
    </row>
    <row r="43" spans="1:8" s="19" customFormat="1" ht="14.25" customHeight="1">
      <c r="A43" s="587" t="s">
        <v>34</v>
      </c>
      <c r="B43" s="419"/>
      <c r="C43" s="402" t="s">
        <v>61</v>
      </c>
      <c r="D43" s="432">
        <f>D45+D47</f>
        <v>134725598</v>
      </c>
      <c r="F43" s="279"/>
    </row>
    <row r="44" spans="1:8" s="19" customFormat="1" ht="14.25" customHeight="1">
      <c r="A44" s="587"/>
      <c r="B44" s="419"/>
      <c r="C44" s="423"/>
      <c r="D44" s="437"/>
      <c r="F44" s="279"/>
      <c r="G44" s="279"/>
    </row>
    <row r="45" spans="1:8" s="30" customFormat="1" ht="14.25" customHeight="1">
      <c r="A45" s="587"/>
      <c r="B45" s="403" t="s">
        <v>15</v>
      </c>
      <c r="C45" s="404" t="s">
        <v>88</v>
      </c>
      <c r="D45" s="432"/>
    </row>
    <row r="46" spans="1:8" s="19" customFormat="1" ht="11.25" customHeight="1">
      <c r="A46" s="587"/>
      <c r="B46" s="419"/>
      <c r="C46" s="352"/>
      <c r="D46" s="436"/>
      <c r="F46" s="280"/>
    </row>
    <row r="47" spans="1:8" s="30" customFormat="1" ht="21" customHeight="1">
      <c r="A47" s="587"/>
      <c r="B47" s="403" t="s">
        <v>16</v>
      </c>
      <c r="C47" s="416" t="s">
        <v>85</v>
      </c>
      <c r="D47" s="432">
        <f>D49+D48</f>
        <v>134725598</v>
      </c>
      <c r="F47" s="283"/>
      <c r="G47" s="283"/>
      <c r="H47" s="283"/>
    </row>
    <row r="48" spans="1:8" s="30" customFormat="1" ht="21" customHeight="1">
      <c r="A48" s="587"/>
      <c r="B48" s="403"/>
      <c r="C48" s="420" t="s">
        <v>293</v>
      </c>
      <c r="D48" s="440">
        <f>8051089+2226679+84911330+200000</f>
        <v>95389098</v>
      </c>
      <c r="F48" s="283"/>
      <c r="G48" s="283"/>
      <c r="H48" s="283"/>
    </row>
    <row r="49" spans="1:8" s="30" customFormat="1" ht="21" customHeight="1">
      <c r="A49" s="587"/>
      <c r="B49" s="403"/>
      <c r="C49" s="424" t="s">
        <v>301</v>
      </c>
      <c r="D49" s="436">
        <v>39336500</v>
      </c>
      <c r="F49" s="794"/>
    </row>
    <row r="50" spans="1:8" s="349" customFormat="1" ht="21" customHeight="1">
      <c r="A50" s="587"/>
      <c r="B50" s="419"/>
      <c r="C50" s="425"/>
      <c r="D50" s="441"/>
      <c r="F50" s="350"/>
      <c r="G50" s="350"/>
      <c r="H50" s="350"/>
    </row>
    <row r="51" spans="1:8" s="349" customFormat="1" ht="21" customHeight="1">
      <c r="A51" s="587"/>
      <c r="B51" s="419"/>
      <c r="C51" s="425"/>
      <c r="D51" s="441"/>
      <c r="F51" s="350"/>
      <c r="G51" s="350"/>
      <c r="H51" s="350"/>
    </row>
    <row r="52" spans="1:8" s="19" customFormat="1" ht="14.25" customHeight="1">
      <c r="A52" s="951" t="s">
        <v>325</v>
      </c>
      <c r="B52" s="952"/>
      <c r="C52" s="952"/>
      <c r="D52" s="586" t="s">
        <v>324</v>
      </c>
      <c r="F52" s="280"/>
    </row>
    <row r="53" spans="1:8" s="19" customFormat="1" ht="7.5" customHeight="1">
      <c r="A53" s="588"/>
      <c r="B53" s="419"/>
      <c r="C53" s="426"/>
      <c r="D53" s="442"/>
    </row>
    <row r="54" spans="1:8" s="19" customFormat="1" ht="14.25" customHeight="1">
      <c r="A54" s="587" t="s">
        <v>38</v>
      </c>
      <c r="B54" s="401"/>
      <c r="C54" s="402" t="s">
        <v>196</v>
      </c>
      <c r="D54" s="432">
        <f>D56+D57</f>
        <v>0</v>
      </c>
    </row>
    <row r="55" spans="1:8" s="19" customFormat="1" ht="8.25" customHeight="1">
      <c r="A55" s="587"/>
      <c r="B55" s="401"/>
      <c r="C55" s="402"/>
      <c r="D55" s="436"/>
    </row>
    <row r="56" spans="1:8" s="30" customFormat="1" ht="25.5" customHeight="1">
      <c r="A56" s="587"/>
      <c r="B56" s="403" t="s">
        <v>15</v>
      </c>
      <c r="C56" s="416" t="s">
        <v>86</v>
      </c>
      <c r="D56" s="432"/>
    </row>
    <row r="57" spans="1:8" s="19" customFormat="1" ht="18.75" customHeight="1">
      <c r="A57" s="588"/>
      <c r="B57" s="427" t="s">
        <v>16</v>
      </c>
      <c r="C57" s="404" t="s">
        <v>102</v>
      </c>
      <c r="D57" s="432">
        <f>+D59</f>
        <v>0</v>
      </c>
    </row>
    <row r="58" spans="1:8" s="19" customFormat="1" ht="12.75" customHeight="1">
      <c r="A58" s="588"/>
      <c r="B58" s="427">
        <v>1</v>
      </c>
      <c r="C58" s="428"/>
      <c r="D58" s="443"/>
    </row>
    <row r="59" spans="1:8" s="19" customFormat="1" ht="17.25" customHeight="1">
      <c r="A59" s="588"/>
      <c r="B59" s="429"/>
      <c r="C59" s="430"/>
      <c r="D59" s="436"/>
    </row>
    <row r="60" spans="1:8" ht="14.25" customHeight="1">
      <c r="A60" s="953" t="s">
        <v>58</v>
      </c>
      <c r="B60" s="954"/>
      <c r="C60" s="954"/>
      <c r="D60" s="586">
        <f>D54</f>
        <v>0</v>
      </c>
    </row>
    <row r="61" spans="1:8" ht="14.25" customHeight="1">
      <c r="A61" s="588"/>
      <c r="B61" s="401"/>
      <c r="C61" s="431" t="s">
        <v>197</v>
      </c>
      <c r="D61" s="945">
        <f>D6+D43</f>
        <v>424100407</v>
      </c>
    </row>
    <row r="62" spans="1:8" ht="14.25" customHeight="1" thickBot="1">
      <c r="A62" s="444"/>
      <c r="B62" s="445"/>
      <c r="C62" s="446" t="s">
        <v>198</v>
      </c>
      <c r="D62" s="946"/>
      <c r="F62" s="584"/>
      <c r="G62" s="584"/>
    </row>
    <row r="65" spans="6:6" ht="12" customHeight="1">
      <c r="F65" s="585">
        <f>D61-D23-D25-D29-'5 kiadások'!M84</f>
        <v>0</v>
      </c>
    </row>
  </sheetData>
  <mergeCells count="5">
    <mergeCell ref="D61:D62"/>
    <mergeCell ref="C1:D1"/>
    <mergeCell ref="A5:C5"/>
    <mergeCell ref="A52:C52"/>
    <mergeCell ref="A60:C60"/>
  </mergeCells>
  <phoneticPr fontId="41" type="noConversion"/>
  <printOptions horizontalCentered="1" verticalCentered="1"/>
  <pageMargins left="0.78740157480314965" right="0.78740157480314965" top="0.59055118110236227" bottom="0.39370078740157483" header="0.51181102362204722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10</vt:i4>
      </vt:variant>
    </vt:vector>
  </HeadingPairs>
  <TitlesOfParts>
    <vt:vector size="16" baseType="lpstr">
      <vt:lpstr>1 ei felhaszn</vt:lpstr>
      <vt:lpstr>2 mérleg</vt:lpstr>
      <vt:lpstr>3 bevételek</vt:lpstr>
      <vt:lpstr>4 int-i bevételek </vt:lpstr>
      <vt:lpstr>5 kiadások</vt:lpstr>
      <vt:lpstr>6 beruházások</vt:lpstr>
      <vt:lpstr>'3 bevételek'!Nyomtatási_cím</vt:lpstr>
      <vt:lpstr>'4 int-i bevételek '!Nyomtatási_cím</vt:lpstr>
      <vt:lpstr>'5 kiadások'!Nyomtatási_cím</vt:lpstr>
      <vt:lpstr>'6 beruházások'!Nyomtatási_cím</vt:lpstr>
      <vt:lpstr>'1 ei felhaszn'!Nyomtatási_terület</vt:lpstr>
      <vt:lpstr>'2 mérleg'!Nyomtatási_terület</vt:lpstr>
      <vt:lpstr>'3 bevételek'!Nyomtatási_terület</vt:lpstr>
      <vt:lpstr>'4 int-i bevételek '!Nyomtatási_terület</vt:lpstr>
      <vt:lpstr>'5 kiadások'!Nyomtatási_terület</vt:lpstr>
      <vt:lpstr>'6 beruházások'!Nyomtatási_terület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Boldoczki</dc:creator>
  <cp:lastModifiedBy>Boldoczki Krisztina</cp:lastModifiedBy>
  <cp:lastPrinted>2018-05-31T07:40:28Z</cp:lastPrinted>
  <dcterms:created xsi:type="dcterms:W3CDTF">2006-02-08T00:02:41Z</dcterms:created>
  <dcterms:modified xsi:type="dcterms:W3CDTF">2018-08-27T06:55:24Z</dcterms:modified>
</cp:coreProperties>
</file>