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sengőd Zsuzsától\Csengőd\Képviselő-testületi ülés\2019-05-28\"/>
    </mc:Choice>
  </mc:AlternateContent>
  <bookViews>
    <workbookView xWindow="-15" yWindow="3705" windowWidth="20550" windowHeight="3765" tabRatio="932" activeTab="4"/>
  </bookViews>
  <sheets>
    <sheet name="1 ei felhaszn" sheetId="17" r:id="rId1"/>
    <sheet name="2 mérleg" sheetId="2" r:id="rId2"/>
    <sheet name="3 bevételek" sheetId="50" r:id="rId3"/>
    <sheet name="4 int-i bevételek " sheetId="32" r:id="rId4"/>
    <sheet name="5 kiadások" sheetId="30" r:id="rId5"/>
    <sheet name="6 beruházások" sheetId="52" r:id="rId6"/>
  </sheets>
  <externalReferences>
    <externalReference r:id="rId7"/>
  </externalReferences>
  <definedNames>
    <definedName name="_xlnm.Print_Titles" localSheetId="2">'3 bevételek'!$4:$5</definedName>
    <definedName name="_xlnm.Print_Titles" localSheetId="3">'4 int-i bevételek '!$5:$8</definedName>
    <definedName name="_xlnm.Print_Titles" localSheetId="4">'5 kiadások'!$5:$7</definedName>
    <definedName name="_xlnm.Print_Titles" localSheetId="5">'6 beruházások'!$4:$5</definedName>
    <definedName name="_xlnm.Print_Area" localSheetId="0">'1 ei felhaszn'!$A$1:$O$31</definedName>
    <definedName name="_xlnm.Print_Area" localSheetId="1">'2 mérleg'!$A$1:$E$60</definedName>
    <definedName name="_xlnm.Print_Area" localSheetId="2">'3 bevételek'!$A$1:$H$284</definedName>
    <definedName name="_xlnm.Print_Area" localSheetId="3">'4 int-i bevételek '!$A$1:$N$18</definedName>
    <definedName name="_xlnm.Print_Area" localSheetId="4">'5 kiadások'!$A$1:$R$102</definedName>
    <definedName name="_xlnm.Print_Area" localSheetId="5">'6 beruházások'!$A$1:$D$77</definedName>
  </definedNames>
  <calcPr calcId="162913"/>
</workbook>
</file>

<file path=xl/calcChain.xml><?xml version="1.0" encoding="utf-8"?>
<calcChain xmlns="http://schemas.openxmlformats.org/spreadsheetml/2006/main">
  <c r="R92" i="30" l="1"/>
  <c r="M92" i="30"/>
  <c r="M55" i="30"/>
  <c r="M56" i="30"/>
  <c r="M84" i="30"/>
  <c r="M53" i="30"/>
  <c r="M85" i="30"/>
  <c r="M54" i="30"/>
  <c r="M102" i="30"/>
  <c r="M94" i="30"/>
  <c r="F220" i="50"/>
  <c r="G30" i="17" l="1"/>
  <c r="H30" i="17"/>
  <c r="I30" i="17"/>
  <c r="J30" i="17"/>
  <c r="K30" i="17"/>
  <c r="F30" i="17"/>
  <c r="E30" i="17"/>
  <c r="D30" i="17"/>
  <c r="C30" i="17"/>
  <c r="N30" i="17"/>
  <c r="M30" i="17"/>
  <c r="N28" i="17"/>
  <c r="N27" i="17"/>
  <c r="K27" i="17"/>
  <c r="N26" i="17"/>
  <c r="N25" i="17"/>
  <c r="M24" i="17"/>
  <c r="N24" i="17"/>
  <c r="D24" i="17"/>
  <c r="E24" i="17"/>
  <c r="F24" i="17"/>
  <c r="G24" i="17"/>
  <c r="H24" i="17"/>
  <c r="I24" i="17"/>
  <c r="J24" i="17"/>
  <c r="K24" i="17"/>
  <c r="L24" i="17"/>
  <c r="C24" i="17"/>
  <c r="N23" i="17"/>
  <c r="D23" i="17"/>
  <c r="E23" i="17"/>
  <c r="F23" i="17"/>
  <c r="G23" i="17"/>
  <c r="H23" i="17"/>
  <c r="I23" i="17"/>
  <c r="J23" i="17"/>
  <c r="K23" i="17"/>
  <c r="L23" i="17"/>
  <c r="M23" i="17"/>
  <c r="C23" i="17"/>
  <c r="N22" i="17"/>
  <c r="D22" i="17"/>
  <c r="E22" i="17"/>
  <c r="F22" i="17"/>
  <c r="G22" i="17"/>
  <c r="H22" i="17"/>
  <c r="I22" i="17"/>
  <c r="J22" i="17"/>
  <c r="K22" i="17"/>
  <c r="L22" i="17"/>
  <c r="M22" i="17"/>
  <c r="C22" i="17"/>
  <c r="N15" i="17"/>
  <c r="I11" i="17"/>
  <c r="J11" i="17"/>
  <c r="K11" i="17"/>
  <c r="N11" i="17"/>
  <c r="L11" i="17"/>
  <c r="M11" i="17"/>
  <c r="N9" i="17"/>
  <c r="N10" i="17"/>
  <c r="K8" i="17"/>
  <c r="L8" i="17"/>
  <c r="M8" i="17"/>
  <c r="N8" i="17"/>
  <c r="E8" i="17"/>
  <c r="D8" i="17"/>
  <c r="C8" i="17"/>
  <c r="H8" i="17"/>
  <c r="I8" i="17"/>
  <c r="J8" i="17"/>
  <c r="G8" i="17"/>
  <c r="C27" i="2"/>
  <c r="E27" i="2"/>
  <c r="D29" i="2"/>
  <c r="F21" i="50"/>
  <c r="F22" i="50"/>
  <c r="E32" i="2"/>
  <c r="C13" i="2"/>
  <c r="G207" i="50"/>
  <c r="F189" i="50"/>
  <c r="H189" i="50"/>
  <c r="F185" i="50"/>
  <c r="H188" i="50" l="1"/>
  <c r="H187" i="50"/>
  <c r="F183" i="50"/>
  <c r="F180" i="50"/>
  <c r="F178" i="50"/>
  <c r="F177" i="50"/>
  <c r="F174" i="50" l="1"/>
  <c r="F102" i="50"/>
  <c r="M86" i="30"/>
  <c r="M72" i="30"/>
  <c r="M71" i="30"/>
  <c r="M70" i="30"/>
  <c r="M69" i="30"/>
  <c r="M67" i="30"/>
  <c r="M65" i="30"/>
  <c r="M50" i="30"/>
  <c r="M28" i="30"/>
  <c r="J92" i="30"/>
  <c r="G278" i="50"/>
  <c r="G273" i="30"/>
  <c r="G277" i="50"/>
  <c r="G276" i="50"/>
  <c r="D48" i="52"/>
  <c r="D10" i="52"/>
  <c r="D72" i="52"/>
  <c r="D70" i="52"/>
  <c r="D68" i="52" s="1"/>
  <c r="D75" i="52" s="1"/>
  <c r="D64" i="52"/>
  <c r="D63" i="52" s="1"/>
  <c r="D60" i="52"/>
  <c r="D53" i="52"/>
  <c r="D50" i="52"/>
  <c r="D45" i="52"/>
  <c r="D43" i="52"/>
  <c r="D42" i="52" s="1"/>
  <c r="D41" i="52" s="1"/>
  <c r="D40" i="52"/>
  <c r="D37" i="52"/>
  <c r="D36" i="52" s="1"/>
  <c r="D33" i="52"/>
  <c r="D31" i="52"/>
  <c r="D30" i="52"/>
  <c r="D29" i="52"/>
  <c r="D28" i="52"/>
  <c r="D27" i="52"/>
  <c r="D26" i="52"/>
  <c r="D23" i="52"/>
  <c r="D22" i="52"/>
  <c r="D18" i="52" s="1"/>
  <c r="D17" i="52"/>
  <c r="D16" i="52"/>
  <c r="D15" i="52"/>
  <c r="D14" i="52" s="1"/>
  <c r="G94" i="30"/>
  <c r="G66" i="30"/>
  <c r="G73" i="30"/>
  <c r="F94" i="30"/>
  <c r="I94" i="30"/>
  <c r="K94" i="30"/>
  <c r="E94" i="30"/>
  <c r="F92" i="30"/>
  <c r="H92" i="30"/>
  <c r="I92" i="30"/>
  <c r="K92" i="30"/>
  <c r="E92" i="30"/>
  <c r="J43" i="30"/>
  <c r="J37" i="30" s="1"/>
  <c r="L56" i="30"/>
  <c r="Q56" i="30" s="1"/>
  <c r="L57" i="30"/>
  <c r="Q57" i="30" s="1"/>
  <c r="F55" i="30"/>
  <c r="G55" i="30"/>
  <c r="H55" i="30"/>
  <c r="I55" i="30"/>
  <c r="J55" i="30"/>
  <c r="K55" i="30"/>
  <c r="E55" i="30"/>
  <c r="N58" i="30"/>
  <c r="O58" i="30"/>
  <c r="M58" i="30"/>
  <c r="F58" i="30"/>
  <c r="L58" i="30" s="1"/>
  <c r="G58" i="30"/>
  <c r="H58" i="30"/>
  <c r="I58" i="30"/>
  <c r="J58" i="30"/>
  <c r="K58" i="30"/>
  <c r="L59" i="30"/>
  <c r="Q59" i="30" s="1"/>
  <c r="L60" i="30"/>
  <c r="Q60" i="30" s="1"/>
  <c r="E58" i="30"/>
  <c r="M66" i="30"/>
  <c r="L89" i="30"/>
  <c r="F40" i="30"/>
  <c r="E40" i="30"/>
  <c r="K22" i="30"/>
  <c r="J22" i="30"/>
  <c r="I22" i="30"/>
  <c r="H22" i="30"/>
  <c r="D59" i="52" l="1"/>
  <c r="D25" i="52"/>
  <c r="D47" i="52"/>
  <c r="D13" i="52"/>
  <c r="D12" i="52" s="1"/>
  <c r="Q58" i="30"/>
  <c r="F116" i="50"/>
  <c r="F115" i="50"/>
  <c r="F114" i="50" s="1"/>
  <c r="F44" i="50"/>
  <c r="D66" i="52" l="1"/>
  <c r="D76" i="52"/>
  <c r="F40" i="50"/>
  <c r="H56" i="50"/>
  <c r="H55" i="50"/>
  <c r="H54" i="50"/>
  <c r="H53" i="50"/>
  <c r="H52" i="50"/>
  <c r="H51" i="50"/>
  <c r="G50" i="50"/>
  <c r="F50" i="50"/>
  <c r="G49" i="50"/>
  <c r="G48" i="50" l="1"/>
  <c r="H50" i="50"/>
  <c r="F49" i="50"/>
  <c r="H49" i="50" l="1"/>
  <c r="F48" i="50"/>
  <c r="R27" i="30" l="1"/>
  <c r="C37" i="2" l="1"/>
  <c r="E69" i="30" l="1"/>
  <c r="G24" i="30" l="1"/>
  <c r="G21" i="30"/>
  <c r="E19" i="30"/>
  <c r="E20" i="30"/>
  <c r="E24" i="30"/>
  <c r="E21" i="30"/>
  <c r="E18" i="30" l="1"/>
  <c r="L69" i="30"/>
  <c r="Q69" i="30" s="1"/>
  <c r="H210" i="50"/>
  <c r="G205" i="50"/>
  <c r="F205" i="50"/>
  <c r="H206" i="50"/>
  <c r="B198" i="50"/>
  <c r="B199" i="50" s="1"/>
  <c r="B200" i="50" s="1"/>
  <c r="B201" i="50" s="1"/>
  <c r="B202" i="50" s="1"/>
  <c r="B203" i="50" s="1"/>
  <c r="H205" i="50" l="1"/>
  <c r="F239" i="50" l="1"/>
  <c r="F202" i="50"/>
  <c r="H186" i="50" l="1"/>
  <c r="H190" i="50"/>
  <c r="F184" i="50"/>
  <c r="F171" i="50"/>
  <c r="F170" i="50"/>
  <c r="F165" i="50"/>
  <c r="F158" i="50"/>
  <c r="R94" i="30"/>
  <c r="M25" i="17"/>
  <c r="C15" i="17"/>
  <c r="H11" i="17"/>
  <c r="F230" i="50"/>
  <c r="H203" i="50"/>
  <c r="F257" i="50"/>
  <c r="J97" i="30"/>
  <c r="L64" i="30"/>
  <c r="H201" i="50"/>
  <c r="L86" i="30" l="1"/>
  <c r="Q86" i="30" s="1"/>
  <c r="G19" i="30" l="1"/>
  <c r="F18" i="30"/>
  <c r="H80" i="30" l="1"/>
  <c r="H74" i="30" s="1"/>
  <c r="F53" i="30"/>
  <c r="L10" i="32" l="1"/>
  <c r="F88" i="50"/>
  <c r="F10" i="32" s="1"/>
  <c r="F8" i="17" l="1"/>
  <c r="F200" i="50" l="1"/>
  <c r="G253" i="50"/>
  <c r="D36" i="2" s="1"/>
  <c r="L15" i="32" l="1"/>
  <c r="L13" i="32"/>
  <c r="L9" i="32"/>
  <c r="F13" i="50"/>
  <c r="F12" i="50" s="1"/>
  <c r="G10" i="50"/>
  <c r="F10" i="50"/>
  <c r="G9" i="50"/>
  <c r="G18" i="50"/>
  <c r="F18" i="50"/>
  <c r="G15" i="50"/>
  <c r="F15" i="50"/>
  <c r="G12" i="50"/>
  <c r="G9" i="30"/>
  <c r="L15" i="30"/>
  <c r="F9" i="50" l="1"/>
  <c r="H9" i="50" s="1"/>
  <c r="G8" i="50"/>
  <c r="H10" i="50"/>
  <c r="D10" i="32"/>
  <c r="D9" i="32" s="1"/>
  <c r="L17" i="32"/>
  <c r="H18" i="50"/>
  <c r="H12" i="50"/>
  <c r="H15" i="50"/>
  <c r="H11" i="50"/>
  <c r="F8" i="50" l="1"/>
  <c r="H8" i="50" s="1"/>
  <c r="G252" i="50"/>
  <c r="M26" i="17" l="1"/>
  <c r="H253" i="50" l="1"/>
  <c r="R33" i="30" l="1"/>
  <c r="R102" i="30" s="1"/>
  <c r="L70" i="30" l="1"/>
  <c r="L71" i="30"/>
  <c r="L72" i="30"/>
  <c r="M19" i="30" l="1"/>
  <c r="M20" i="30"/>
  <c r="M21" i="30"/>
  <c r="M24" i="30"/>
  <c r="G20" i="30" l="1"/>
  <c r="R19" i="30"/>
  <c r="R20" i="30"/>
  <c r="R18" i="30" l="1"/>
  <c r="P74" i="30"/>
  <c r="O74" i="30"/>
  <c r="N74" i="30"/>
  <c r="M74" i="30"/>
  <c r="G74" i="30"/>
  <c r="J74" i="30"/>
  <c r="K74" i="30"/>
  <c r="E74" i="30"/>
  <c r="L30" i="17"/>
  <c r="D26" i="17"/>
  <c r="E26" i="17"/>
  <c r="F26" i="17"/>
  <c r="G26" i="17"/>
  <c r="H26" i="17"/>
  <c r="I26" i="17"/>
  <c r="J26" i="17"/>
  <c r="K26" i="17"/>
  <c r="L26" i="17"/>
  <c r="C26" i="17"/>
  <c r="L25" i="17"/>
  <c r="K25" i="17"/>
  <c r="D25" i="17"/>
  <c r="E25" i="17"/>
  <c r="F25" i="17"/>
  <c r="G25" i="17"/>
  <c r="H25" i="17"/>
  <c r="I25" i="17"/>
  <c r="C25" i="17"/>
  <c r="J25" i="17"/>
  <c r="D15" i="17"/>
  <c r="E15" i="17"/>
  <c r="F15" i="17"/>
  <c r="G15" i="17"/>
  <c r="H15" i="17"/>
  <c r="I15" i="17"/>
  <c r="J15" i="17"/>
  <c r="K15" i="17"/>
  <c r="L15" i="17"/>
  <c r="M15" i="17"/>
  <c r="D11" i="17"/>
  <c r="E11" i="17"/>
  <c r="F11" i="17"/>
  <c r="G11" i="17"/>
  <c r="C11" i="17"/>
  <c r="J48" i="30" l="1"/>
  <c r="H209" i="50"/>
  <c r="G204" i="50"/>
  <c r="F21" i="30"/>
  <c r="F24" i="30"/>
  <c r="G18" i="30" l="1"/>
  <c r="L22" i="30" l="1"/>
  <c r="L23" i="30"/>
  <c r="L25" i="30"/>
  <c r="L26" i="30"/>
  <c r="H21" i="30"/>
  <c r="I21" i="30"/>
  <c r="J21" i="30"/>
  <c r="K21" i="30"/>
  <c r="H24" i="30"/>
  <c r="I24" i="30"/>
  <c r="J24" i="30"/>
  <c r="K24" i="30"/>
  <c r="L24" i="30" l="1"/>
  <c r="L21" i="30"/>
  <c r="R9" i="30" l="1"/>
  <c r="E14" i="30"/>
  <c r="E9" i="30" l="1"/>
  <c r="R8" i="30"/>
  <c r="R31" i="30"/>
  <c r="F9" i="30"/>
  <c r="Q71" i="30"/>
  <c r="Q70" i="30"/>
  <c r="F62" i="30"/>
  <c r="E67" i="30"/>
  <c r="I82" i="30"/>
  <c r="G63" i="30" l="1"/>
  <c r="L67" i="30"/>
  <c r="I74" i="30"/>
  <c r="Q67" i="30" l="1"/>
  <c r="G52" i="30" l="1"/>
  <c r="F74" i="30" l="1"/>
  <c r="F226" i="50"/>
  <c r="H226" i="50" s="1"/>
  <c r="R83" i="30"/>
  <c r="F83" i="30"/>
  <c r="H83" i="30"/>
  <c r="I83" i="30"/>
  <c r="J83" i="30"/>
  <c r="K83" i="30"/>
  <c r="E83" i="30"/>
  <c r="H211" i="50"/>
  <c r="F9" i="17" s="1"/>
  <c r="F207" i="50"/>
  <c r="H208" i="50"/>
  <c r="E9" i="17" s="1"/>
  <c r="Q64" i="30"/>
  <c r="H207" i="50" l="1"/>
  <c r="F204" i="50"/>
  <c r="G83" i="30"/>
  <c r="F196" i="50"/>
  <c r="H196" i="50" s="1"/>
  <c r="F225" i="50"/>
  <c r="F14" i="32"/>
  <c r="F18" i="32" s="1"/>
  <c r="H79" i="50"/>
  <c r="L19" i="30"/>
  <c r="H18" i="30"/>
  <c r="I18" i="30"/>
  <c r="J18" i="30"/>
  <c r="K18" i="30"/>
  <c r="L20" i="30"/>
  <c r="F90" i="50" l="1"/>
  <c r="H78" i="50"/>
  <c r="F117" i="50" l="1"/>
  <c r="F175" i="50" l="1"/>
  <c r="H166" i="50"/>
  <c r="M83" i="30" l="1"/>
  <c r="H17" i="30"/>
  <c r="M100" i="30" l="1"/>
  <c r="G260" i="50"/>
  <c r="H232" i="50" l="1"/>
  <c r="D23" i="2"/>
  <c r="E66" i="30"/>
  <c r="E62" i="30" s="1"/>
  <c r="G62" i="30" l="1"/>
  <c r="L97" i="30" l="1"/>
  <c r="Q97" i="30" s="1"/>
  <c r="F157" i="50" l="1"/>
  <c r="H168" i="50"/>
  <c r="H224" i="50"/>
  <c r="C38" i="2"/>
  <c r="F280" i="50"/>
  <c r="C58" i="2" s="1"/>
  <c r="C35" i="2" l="1"/>
  <c r="G262" i="50"/>
  <c r="G219" i="50"/>
  <c r="G213" i="50" s="1"/>
  <c r="M10" i="30" l="1"/>
  <c r="M33" i="30" s="1"/>
  <c r="M11" i="30" l="1"/>
  <c r="F252" i="50"/>
  <c r="M9" i="30" l="1"/>
  <c r="M31" i="30" s="1"/>
  <c r="H252" i="50"/>
  <c r="M8" i="30" l="1"/>
  <c r="Q92" i="30"/>
  <c r="L96" i="30"/>
  <c r="Q96" i="30" s="1"/>
  <c r="H250" i="50" l="1"/>
  <c r="H43" i="50" l="1"/>
  <c r="P8" i="30" l="1"/>
  <c r="O11" i="30"/>
  <c r="O9" i="30" s="1"/>
  <c r="O8" i="30" s="1"/>
  <c r="E37" i="2"/>
  <c r="L87" i="30"/>
  <c r="Q87" i="30" s="1"/>
  <c r="C31" i="17" l="1"/>
  <c r="H261" i="50"/>
  <c r="G10" i="32"/>
  <c r="G17" i="32" s="1"/>
  <c r="E18" i="32"/>
  <c r="D18" i="32"/>
  <c r="G18" i="32"/>
  <c r="H18" i="32"/>
  <c r="I18" i="32"/>
  <c r="E17" i="32"/>
  <c r="D17" i="32"/>
  <c r="H17" i="32"/>
  <c r="I17" i="32"/>
  <c r="G181" i="50"/>
  <c r="H183" i="50"/>
  <c r="H127" i="50"/>
  <c r="H128" i="50"/>
  <c r="H129" i="50"/>
  <c r="H130" i="50"/>
  <c r="H131" i="50"/>
  <c r="H132" i="50"/>
  <c r="H133" i="50"/>
  <c r="H134" i="50"/>
  <c r="F86" i="50"/>
  <c r="G38" i="50"/>
  <c r="F37" i="50"/>
  <c r="G26" i="50"/>
  <c r="G25" i="50"/>
  <c r="G24" i="50" s="1"/>
  <c r="F25" i="50"/>
  <c r="N11" i="30"/>
  <c r="N10" i="30"/>
  <c r="N9" i="30"/>
  <c r="F30" i="50"/>
  <c r="F9" i="32" l="1"/>
  <c r="R30" i="30"/>
  <c r="E33" i="30"/>
  <c r="F181" i="50"/>
  <c r="H181" i="50" s="1"/>
  <c r="N8" i="30"/>
  <c r="M62" i="30" l="1"/>
  <c r="I8" i="30"/>
  <c r="J8" i="30"/>
  <c r="K8" i="30"/>
  <c r="E8" i="30"/>
  <c r="F8" i="30"/>
  <c r="N32" i="30" l="1"/>
  <c r="Q32" i="30" s="1"/>
  <c r="N31" i="30"/>
  <c r="G126" i="50"/>
  <c r="G9" i="32" s="1"/>
  <c r="F126" i="50"/>
  <c r="F43" i="30"/>
  <c r="G43" i="30"/>
  <c r="H43" i="30"/>
  <c r="H37" i="30" s="1"/>
  <c r="J36" i="30"/>
  <c r="K37" i="30"/>
  <c r="E43" i="30"/>
  <c r="L93" i="30"/>
  <c r="L38" i="30"/>
  <c r="B64" i="30"/>
  <c r="B65" i="30" s="1"/>
  <c r="B66" i="30" s="1"/>
  <c r="B67" i="30" s="1"/>
  <c r="B72" i="30" s="1"/>
  <c r="L48" i="30"/>
  <c r="Q48" i="30" s="1"/>
  <c r="L54" i="30"/>
  <c r="L53" i="30"/>
  <c r="Q53" i="30" s="1"/>
  <c r="K36" i="30" l="1"/>
  <c r="H36" i="30"/>
  <c r="N30" i="30"/>
  <c r="J13" i="32"/>
  <c r="H126" i="50"/>
  <c r="J14" i="32"/>
  <c r="O18" i="30"/>
  <c r="P18" i="30"/>
  <c r="N18" i="30"/>
  <c r="M18" i="30"/>
  <c r="J12" i="32" l="1"/>
  <c r="M30" i="30"/>
  <c r="L49" i="30"/>
  <c r="Q49" i="30" s="1"/>
  <c r="E15" i="2"/>
  <c r="E18" i="2"/>
  <c r="E19" i="2"/>
  <c r="N94" i="30"/>
  <c r="N102" i="30" s="1"/>
  <c r="O94" i="30"/>
  <c r="P94" i="30"/>
  <c r="N36" i="30"/>
  <c r="N91" i="30" s="1"/>
  <c r="O36" i="30"/>
  <c r="O92" i="30" s="1"/>
  <c r="P36" i="30"/>
  <c r="P91" i="30" s="1"/>
  <c r="P98" i="30" s="1"/>
  <c r="M36" i="30"/>
  <c r="G137" i="50"/>
  <c r="G136" i="50"/>
  <c r="F137" i="50"/>
  <c r="F136" i="50"/>
  <c r="G125" i="50"/>
  <c r="G122" i="50" s="1"/>
  <c r="G124" i="50"/>
  <c r="F125" i="50"/>
  <c r="F124" i="50"/>
  <c r="G147" i="50"/>
  <c r="F147" i="50"/>
  <c r="H147" i="50" s="1"/>
  <c r="G144" i="50"/>
  <c r="F144" i="50"/>
  <c r="H144" i="50" s="1"/>
  <c r="G141" i="50"/>
  <c r="F141" i="50"/>
  <c r="H141" i="50" s="1"/>
  <c r="G140" i="50"/>
  <c r="F140" i="50"/>
  <c r="H140" i="50" s="1"/>
  <c r="G139" i="50"/>
  <c r="F139" i="50"/>
  <c r="H139" i="50" s="1"/>
  <c r="G110" i="50"/>
  <c r="G109" i="50"/>
  <c r="F110" i="50"/>
  <c r="H110" i="50" s="1"/>
  <c r="F109" i="50"/>
  <c r="H109" i="50" s="1"/>
  <c r="F85" i="50"/>
  <c r="F84" i="50" s="1"/>
  <c r="F74" i="50"/>
  <c r="H74" i="50" s="1"/>
  <c r="H76" i="50"/>
  <c r="H77" i="50"/>
  <c r="H82" i="50"/>
  <c r="H83" i="50"/>
  <c r="G81" i="50"/>
  <c r="H81" i="50"/>
  <c r="G69" i="50"/>
  <c r="G66" i="50"/>
  <c r="H64" i="50"/>
  <c r="H65" i="50"/>
  <c r="H67" i="50"/>
  <c r="H68" i="50"/>
  <c r="H70" i="50"/>
  <c r="H71" i="50"/>
  <c r="G63" i="50"/>
  <c r="G62" i="50"/>
  <c r="G61" i="50"/>
  <c r="H69" i="50"/>
  <c r="H66" i="50"/>
  <c r="H63" i="50"/>
  <c r="F62" i="50"/>
  <c r="F61" i="50"/>
  <c r="F75" i="50"/>
  <c r="H75" i="50" s="1"/>
  <c r="G75" i="50"/>
  <c r="G74" i="50"/>
  <c r="G73" i="50"/>
  <c r="F105" i="50"/>
  <c r="F15" i="32" s="1"/>
  <c r="K15" i="32" s="1"/>
  <c r="H102" i="50"/>
  <c r="F99" i="50"/>
  <c r="H99" i="50" s="1"/>
  <c r="G98" i="50"/>
  <c r="G96" i="50" s="1"/>
  <c r="F98" i="50"/>
  <c r="F97" i="50"/>
  <c r="H93" i="50"/>
  <c r="H88" i="50"/>
  <c r="H89" i="50"/>
  <c r="H92" i="50"/>
  <c r="H94" i="50"/>
  <c r="H95" i="50"/>
  <c r="H100" i="50"/>
  <c r="H101" i="50"/>
  <c r="H103" i="50"/>
  <c r="H104" i="50"/>
  <c r="H106" i="50"/>
  <c r="H107" i="50"/>
  <c r="H111" i="50"/>
  <c r="H112" i="50"/>
  <c r="H113" i="50"/>
  <c r="H114" i="50"/>
  <c r="H115" i="50"/>
  <c r="H116" i="50"/>
  <c r="H117" i="50"/>
  <c r="H118" i="50"/>
  <c r="H119" i="50"/>
  <c r="H142" i="50"/>
  <c r="H143" i="50"/>
  <c r="H145" i="50"/>
  <c r="H146" i="50"/>
  <c r="H148" i="50"/>
  <c r="H149" i="50"/>
  <c r="G87" i="50"/>
  <c r="H87" i="50"/>
  <c r="H86" i="50"/>
  <c r="G84" i="50"/>
  <c r="H40" i="50"/>
  <c r="H41" i="50"/>
  <c r="G37" i="50"/>
  <c r="G36" i="50" s="1"/>
  <c r="G33" i="50"/>
  <c r="G30" i="50"/>
  <c r="G27" i="50"/>
  <c r="F27" i="50"/>
  <c r="F33" i="50"/>
  <c r="F26" i="50"/>
  <c r="Q54" i="30"/>
  <c r="L84" i="30"/>
  <c r="Q84" i="30" s="1"/>
  <c r="L65" i="30"/>
  <c r="L78" i="30"/>
  <c r="Q78" i="30" s="1"/>
  <c r="L79" i="30"/>
  <c r="Q79" i="30" s="1"/>
  <c r="L80" i="30"/>
  <c r="Q80" i="30" s="1"/>
  <c r="N75" i="30"/>
  <c r="O75" i="30"/>
  <c r="P75" i="30"/>
  <c r="P73" i="30" s="1"/>
  <c r="M75" i="30"/>
  <c r="H75" i="30"/>
  <c r="I75" i="30"/>
  <c r="I73" i="30" s="1"/>
  <c r="J75" i="30"/>
  <c r="K75" i="30"/>
  <c r="K73" i="30" s="1"/>
  <c r="F75" i="30"/>
  <c r="G75" i="30"/>
  <c r="E75" i="30"/>
  <c r="G10" i="30"/>
  <c r="E37" i="30"/>
  <c r="L45" i="30"/>
  <c r="Q45" i="30" s="1"/>
  <c r="L47" i="30"/>
  <c r="Q47" i="30" s="1"/>
  <c r="L52" i="30"/>
  <c r="Q52" i="30" s="1"/>
  <c r="L50" i="30"/>
  <c r="Q50" i="30" s="1"/>
  <c r="L51" i="30"/>
  <c r="Q51" i="30" s="1"/>
  <c r="L61" i="30"/>
  <c r="Q61" i="30" s="1"/>
  <c r="L42" i="30"/>
  <c r="Q42" i="30" s="1"/>
  <c r="L55" i="30"/>
  <c r="Q55" i="30" s="1"/>
  <c r="H98" i="50" l="1"/>
  <c r="J73" i="30"/>
  <c r="J94" i="30"/>
  <c r="J102" i="30" s="1"/>
  <c r="H73" i="30"/>
  <c r="H94" i="30"/>
  <c r="E73" i="30"/>
  <c r="F73" i="30"/>
  <c r="H97" i="50"/>
  <c r="H33" i="50"/>
  <c r="E102" i="30"/>
  <c r="M73" i="30"/>
  <c r="H105" i="50"/>
  <c r="G8" i="30"/>
  <c r="H137" i="50"/>
  <c r="H124" i="50"/>
  <c r="H61" i="50"/>
  <c r="F38" i="50"/>
  <c r="F36" i="50" s="1"/>
  <c r="H44" i="50"/>
  <c r="F122" i="50"/>
  <c r="H125" i="50"/>
  <c r="H42" i="50"/>
  <c r="H90" i="50"/>
  <c r="F13" i="32"/>
  <c r="G138" i="50"/>
  <c r="G108" i="50"/>
  <c r="F135" i="50"/>
  <c r="C34" i="2" s="1"/>
  <c r="C33" i="2" s="1"/>
  <c r="C32" i="2" s="1"/>
  <c r="L44" i="30"/>
  <c r="Q44" i="30" s="1"/>
  <c r="I43" i="30"/>
  <c r="H39" i="50"/>
  <c r="G135" i="50"/>
  <c r="D34" i="2" s="1"/>
  <c r="D33" i="2" s="1"/>
  <c r="E36" i="30"/>
  <c r="N92" i="30"/>
  <c r="O91" i="30"/>
  <c r="O98" i="30" s="1"/>
  <c r="O73" i="30"/>
  <c r="G11" i="30"/>
  <c r="N73" i="30"/>
  <c r="L85" i="30"/>
  <c r="L75" i="30"/>
  <c r="Q75" i="30" s="1"/>
  <c r="P92" i="30"/>
  <c r="E14" i="2"/>
  <c r="G23" i="50"/>
  <c r="F73" i="50"/>
  <c r="H73" i="50" s="1"/>
  <c r="H136" i="50"/>
  <c r="G22" i="50"/>
  <c r="G123" i="50"/>
  <c r="G120" i="50" s="1"/>
  <c r="D17" i="2" s="1"/>
  <c r="G121" i="50"/>
  <c r="F121" i="50"/>
  <c r="F123" i="50"/>
  <c r="F138" i="50"/>
  <c r="H138" i="50" s="1"/>
  <c r="F108" i="50"/>
  <c r="H108" i="50" s="1"/>
  <c r="H85" i="50"/>
  <c r="H91" i="50"/>
  <c r="H80" i="50"/>
  <c r="F60" i="50"/>
  <c r="H62" i="50"/>
  <c r="G60" i="50"/>
  <c r="G72" i="50"/>
  <c r="H37" i="50"/>
  <c r="F96" i="50"/>
  <c r="H96" i="50" s="1"/>
  <c r="H25" i="50"/>
  <c r="H30" i="50"/>
  <c r="H26" i="50"/>
  <c r="H27" i="50"/>
  <c r="F24" i="50"/>
  <c r="F23" i="50" l="1"/>
  <c r="K13" i="32"/>
  <c r="F12" i="32"/>
  <c r="F17" i="32"/>
  <c r="F151" i="50"/>
  <c r="H38" i="50"/>
  <c r="H123" i="50"/>
  <c r="G152" i="50"/>
  <c r="G266" i="50" s="1"/>
  <c r="E33" i="2"/>
  <c r="G21" i="50"/>
  <c r="F72" i="50"/>
  <c r="E34" i="2"/>
  <c r="I37" i="30"/>
  <c r="L43" i="30"/>
  <c r="Q43" i="30" s="1"/>
  <c r="G151" i="50"/>
  <c r="H24" i="50"/>
  <c r="H135" i="50"/>
  <c r="F120" i="50"/>
  <c r="G150" i="50" l="1"/>
  <c r="F16" i="32"/>
  <c r="H151" i="50"/>
  <c r="F152" i="50"/>
  <c r="H152" i="50" s="1"/>
  <c r="H23" i="50"/>
  <c r="H22" i="50"/>
  <c r="D13" i="2"/>
  <c r="D16" i="2"/>
  <c r="C16" i="2"/>
  <c r="C20" i="2" s="1"/>
  <c r="H120" i="50"/>
  <c r="C17" i="2"/>
  <c r="E17" i="2" s="1"/>
  <c r="I36" i="30"/>
  <c r="F150" i="50" l="1"/>
  <c r="H21" i="50"/>
  <c r="I21" i="50" s="1"/>
  <c r="D20" i="2"/>
  <c r="E13" i="2"/>
  <c r="E16" i="2"/>
  <c r="Q65" i="30"/>
  <c r="H62" i="30"/>
  <c r="I62" i="30"/>
  <c r="J62" i="30"/>
  <c r="K62" i="30"/>
  <c r="N62" i="30"/>
  <c r="O62" i="30"/>
  <c r="P62" i="30"/>
  <c r="L68" i="30"/>
  <c r="Q68" i="30" s="1"/>
  <c r="L66" i="30"/>
  <c r="Q66" i="30" s="1"/>
  <c r="L63" i="30"/>
  <c r="Q72" i="30" l="1"/>
  <c r="E20" i="2"/>
  <c r="F20" i="2" s="1"/>
  <c r="L94" i="30" l="1"/>
  <c r="E91" i="30"/>
  <c r="E98" i="30" s="1"/>
  <c r="L62" i="30"/>
  <c r="G33" i="30"/>
  <c r="G102" i="30" s="1"/>
  <c r="H33" i="30"/>
  <c r="H102" i="30" s="1"/>
  <c r="I33" i="30"/>
  <c r="I102" i="30" s="1"/>
  <c r="J33" i="30"/>
  <c r="K33" i="30"/>
  <c r="K102" i="30" s="1"/>
  <c r="I31" i="30"/>
  <c r="I100" i="30" s="1"/>
  <c r="J31" i="30"/>
  <c r="J100" i="30" s="1"/>
  <c r="K31" i="30"/>
  <c r="I99" i="30" l="1"/>
  <c r="J30" i="30"/>
  <c r="L81" i="30"/>
  <c r="L77" i="30"/>
  <c r="I30" i="30"/>
  <c r="K30" i="30"/>
  <c r="H16" i="30" l="1"/>
  <c r="L16" i="30" s="1"/>
  <c r="Q16" i="30" s="1"/>
  <c r="F11" i="30"/>
  <c r="L10" i="30"/>
  <c r="Q10" i="30" s="1"/>
  <c r="L12" i="30"/>
  <c r="Q12" i="30" s="1"/>
  <c r="L13" i="30"/>
  <c r="Q13" i="30" s="1"/>
  <c r="L14" i="30"/>
  <c r="Q14" i="30" s="1"/>
  <c r="L17" i="30"/>
  <c r="Q17" i="30" s="1"/>
  <c r="F37" i="30"/>
  <c r="J91" i="30"/>
  <c r="J98" i="30" s="1"/>
  <c r="L83" i="30" l="1"/>
  <c r="F91" i="30"/>
  <c r="K100" i="30"/>
  <c r="H91" i="30"/>
  <c r="H98" i="30" s="1"/>
  <c r="F36" i="30"/>
  <c r="H9" i="30"/>
  <c r="H8" i="30" s="1"/>
  <c r="L8" i="30" s="1"/>
  <c r="F247" i="50"/>
  <c r="F222" i="50"/>
  <c r="H84" i="50"/>
  <c r="H48" i="50" s="1"/>
  <c r="H72" i="50"/>
  <c r="H36" i="50" s="1"/>
  <c r="H60" i="50"/>
  <c r="L29" i="30"/>
  <c r="Q29" i="30" s="1"/>
  <c r="E27" i="30"/>
  <c r="N27" i="30"/>
  <c r="O27" i="30"/>
  <c r="O31" i="30" s="1"/>
  <c r="P27" i="30"/>
  <c r="P31" i="30" s="1"/>
  <c r="M27" i="30"/>
  <c r="J15" i="32" s="1"/>
  <c r="H27" i="30"/>
  <c r="I27" i="30"/>
  <c r="J27" i="30"/>
  <c r="K27" i="30"/>
  <c r="F98" i="30" l="1"/>
  <c r="H150" i="50"/>
  <c r="H222" i="50"/>
  <c r="I91" i="30"/>
  <c r="K91" i="30"/>
  <c r="L9" i="30"/>
  <c r="Q9" i="30" s="1"/>
  <c r="K10" i="32" s="1"/>
  <c r="H31" i="30"/>
  <c r="H100" i="30" s="1"/>
  <c r="F27" i="30"/>
  <c r="Q8" i="30" l="1"/>
  <c r="K9" i="32"/>
  <c r="J99" i="30"/>
  <c r="K98" i="30"/>
  <c r="K99" i="30"/>
  <c r="I98" i="30"/>
  <c r="H30" i="30"/>
  <c r="H99" i="30" s="1"/>
  <c r="F272" i="50" s="1"/>
  <c r="N10" i="32" l="1"/>
  <c r="F273" i="50"/>
  <c r="E11" i="30"/>
  <c r="L11" i="30" s="1"/>
  <c r="F172" i="50" l="1"/>
  <c r="Q11" i="30"/>
  <c r="N9" i="32" l="1"/>
  <c r="Q63" i="30" l="1"/>
  <c r="Q62" i="30"/>
  <c r="D52" i="2"/>
  <c r="E52" i="2" s="1"/>
  <c r="H185" i="50"/>
  <c r="Q94" i="30" l="1"/>
  <c r="M91" i="30"/>
  <c r="G282" i="50"/>
  <c r="G37" i="30"/>
  <c r="G92" i="30" l="1"/>
  <c r="G91" i="30" s="1"/>
  <c r="M98" i="30"/>
  <c r="G36" i="30"/>
  <c r="L37" i="30"/>
  <c r="L82" i="30"/>
  <c r="L16" i="17"/>
  <c r="K31" i="17"/>
  <c r="J31" i="17"/>
  <c r="H31" i="17"/>
  <c r="G31" i="17"/>
  <c r="D31" i="17"/>
  <c r="K16" i="17"/>
  <c r="E16" i="17"/>
  <c r="G16" i="17"/>
  <c r="H16" i="17"/>
  <c r="I16" i="17"/>
  <c r="J16" i="17"/>
  <c r="M16" i="17"/>
  <c r="I31" i="17"/>
  <c r="M99" i="30" l="1"/>
  <c r="L74" i="30"/>
  <c r="Q74" i="30" s="1"/>
  <c r="L31" i="17"/>
  <c r="F31" i="17"/>
  <c r="N31" i="17"/>
  <c r="N16" i="17"/>
  <c r="M31" i="17"/>
  <c r="E31" i="17"/>
  <c r="G98" i="30" l="1"/>
  <c r="L91" i="30"/>
  <c r="L92" i="30"/>
  <c r="H178" i="50"/>
  <c r="H179" i="50"/>
  <c r="L98" i="30" l="1"/>
  <c r="M101" i="30"/>
  <c r="H225" i="50" l="1"/>
  <c r="F219" i="50"/>
  <c r="F262" i="50"/>
  <c r="H219" i="50" l="1"/>
  <c r="H262" i="50"/>
  <c r="F266" i="50"/>
  <c r="H266" i="50" s="1"/>
  <c r="R36" i="30" l="1"/>
  <c r="F194" i="50" l="1"/>
  <c r="H172" i="50" l="1"/>
  <c r="H180" i="50"/>
  <c r="H194" i="50" l="1"/>
  <c r="E38" i="2"/>
  <c r="H257" i="50"/>
  <c r="H256" i="50"/>
  <c r="H167" i="50"/>
  <c r="F169" i="50"/>
  <c r="F156" i="50" s="1"/>
  <c r="G31" i="30" l="1"/>
  <c r="G100" i="30" s="1"/>
  <c r="H169" i="50"/>
  <c r="G27" i="30" l="1"/>
  <c r="L27" i="30" s="1"/>
  <c r="Q27" i="30" s="1"/>
  <c r="L28" i="30"/>
  <c r="Q28" i="30" s="1"/>
  <c r="G30" i="30"/>
  <c r="G99" i="30" s="1"/>
  <c r="H251" i="50"/>
  <c r="G248" i="50"/>
  <c r="N100" i="30"/>
  <c r="O100" i="30"/>
  <c r="P100" i="30"/>
  <c r="O30" i="30"/>
  <c r="P30" i="30"/>
  <c r="H248" i="50" l="1"/>
  <c r="G247" i="50"/>
  <c r="E58" i="2" l="1"/>
  <c r="O30" i="17" l="1"/>
  <c r="L41" i="30"/>
  <c r="Q41" i="30" s="1"/>
  <c r="L73" i="30" l="1"/>
  <c r="Q73" i="30" s="1"/>
  <c r="Q85" i="30"/>
  <c r="H246" i="50"/>
  <c r="H236" i="50"/>
  <c r="R73" i="30"/>
  <c r="H254" i="50"/>
  <c r="H255" i="50"/>
  <c r="F217" i="50"/>
  <c r="F213" i="50" s="1"/>
  <c r="H221" i="50"/>
  <c r="H223" i="50"/>
  <c r="J17" i="32"/>
  <c r="M17" i="32"/>
  <c r="J16" i="32"/>
  <c r="J18" i="32"/>
  <c r="L18" i="32"/>
  <c r="L16" i="32" s="1"/>
  <c r="M18" i="32"/>
  <c r="O102" i="30"/>
  <c r="P102" i="30"/>
  <c r="D24" i="2"/>
  <c r="D28" i="2"/>
  <c r="E28" i="2" s="1"/>
  <c r="H177" i="50"/>
  <c r="H171" i="50"/>
  <c r="H159" i="50"/>
  <c r="H160" i="50"/>
  <c r="H161" i="50"/>
  <c r="H162" i="50"/>
  <c r="H163" i="50"/>
  <c r="H164" i="50"/>
  <c r="H165" i="50"/>
  <c r="H158" i="50"/>
  <c r="H235" i="50"/>
  <c r="H228" i="50"/>
  <c r="H227" i="50"/>
  <c r="H233" i="50"/>
  <c r="H234" i="50"/>
  <c r="G12" i="32"/>
  <c r="G16" i="32" s="1"/>
  <c r="H197" i="50"/>
  <c r="H176" i="50"/>
  <c r="H191" i="50"/>
  <c r="H175" i="50"/>
  <c r="H174" i="50"/>
  <c r="H230" i="50"/>
  <c r="H240" i="50"/>
  <c r="H238" i="50"/>
  <c r="H249" i="50"/>
  <c r="H237" i="50"/>
  <c r="H218" i="50"/>
  <c r="H217" i="50" s="1"/>
  <c r="L88" i="30"/>
  <c r="H182" i="50"/>
  <c r="Q77" i="30"/>
  <c r="H239" i="50"/>
  <c r="H242" i="50"/>
  <c r="H245" i="50"/>
  <c r="H192" i="50"/>
  <c r="L90" i="30"/>
  <c r="Q90" i="30" s="1"/>
  <c r="H184" i="50"/>
  <c r="H241" i="50"/>
  <c r="L76" i="30"/>
  <c r="Q76" i="30" s="1"/>
  <c r="Q82" i="30"/>
  <c r="E12" i="32"/>
  <c r="H12" i="32"/>
  <c r="H16" i="32" s="1"/>
  <c r="I12" i="32"/>
  <c r="I16" i="32" s="1"/>
  <c r="L12" i="32"/>
  <c r="M12" i="32"/>
  <c r="M16" i="32" s="1"/>
  <c r="H199" i="50"/>
  <c r="H200" i="50"/>
  <c r="D12" i="32"/>
  <c r="D16" i="32" s="1"/>
  <c r="I20" i="32" s="1"/>
  <c r="Q81" i="30"/>
  <c r="H229" i="50"/>
  <c r="Q83" i="30"/>
  <c r="H198" i="50" s="1"/>
  <c r="H202" i="50"/>
  <c r="H170" i="50"/>
  <c r="L40" i="30"/>
  <c r="Q40" i="30" s="1"/>
  <c r="H173" i="50"/>
  <c r="O14" i="17" l="1"/>
  <c r="O13" i="17"/>
  <c r="F260" i="50"/>
  <c r="F264" i="50" s="1"/>
  <c r="E16" i="32"/>
  <c r="G264" i="50"/>
  <c r="G259" i="50"/>
  <c r="G263" i="50" s="1"/>
  <c r="H213" i="50"/>
  <c r="N15" i="32"/>
  <c r="Q88" i="30"/>
  <c r="N99" i="30"/>
  <c r="Q91" i="30"/>
  <c r="H204" i="50"/>
  <c r="Q93" i="30"/>
  <c r="P99" i="30"/>
  <c r="C25" i="2"/>
  <c r="E25" i="2" s="1"/>
  <c r="H265" i="50"/>
  <c r="H157" i="50"/>
  <c r="H247" i="50"/>
  <c r="D26" i="2"/>
  <c r="E26" i="2" s="1"/>
  <c r="H231" i="50"/>
  <c r="G283" i="50"/>
  <c r="H220" i="50"/>
  <c r="L36" i="30"/>
  <c r="Q36" i="30" s="1"/>
  <c r="L101" i="30"/>
  <c r="O12" i="17" l="1"/>
  <c r="R100" i="30"/>
  <c r="R99" i="30" s="1"/>
  <c r="H156" i="50"/>
  <c r="H277" i="50"/>
  <c r="H264" i="50"/>
  <c r="F154" i="50"/>
  <c r="F259" i="50" s="1"/>
  <c r="R91" i="30"/>
  <c r="H260" i="50"/>
  <c r="O11" i="17"/>
  <c r="E23" i="2"/>
  <c r="D30" i="2"/>
  <c r="H280" i="50"/>
  <c r="D54" i="2"/>
  <c r="O99" i="30"/>
  <c r="E36" i="2"/>
  <c r="D35" i="2"/>
  <c r="D32" i="2" s="1"/>
  <c r="O15" i="17" s="1"/>
  <c r="F284" i="50"/>
  <c r="H284" i="50" s="1"/>
  <c r="Q101" i="30"/>
  <c r="H154" i="50" l="1"/>
  <c r="O9" i="17"/>
  <c r="D53" i="2"/>
  <c r="O28" i="17" s="1"/>
  <c r="F263" i="50"/>
  <c r="H263" i="50" s="1"/>
  <c r="H259" i="50"/>
  <c r="E35" i="2"/>
  <c r="D39" i="2"/>
  <c r="C24" i="2"/>
  <c r="C29" i="2" s="1"/>
  <c r="E29" i="2" s="1"/>
  <c r="E54" i="2"/>
  <c r="O29" i="17"/>
  <c r="C22" i="2"/>
  <c r="H278" i="50"/>
  <c r="Q98" i="30"/>
  <c r="F271" i="50"/>
  <c r="C47" i="2" s="1"/>
  <c r="H276" i="50"/>
  <c r="G279" i="50"/>
  <c r="G281" i="50" s="1"/>
  <c r="O27" i="17"/>
  <c r="E53" i="2" l="1"/>
  <c r="E24" i="2"/>
  <c r="E22" i="2"/>
  <c r="O8" i="17" s="1"/>
  <c r="C16" i="17" s="1"/>
  <c r="H279" i="50"/>
  <c r="O7" i="17"/>
  <c r="C48" i="2"/>
  <c r="O25" i="17" s="1"/>
  <c r="H272" i="50"/>
  <c r="E47" i="2"/>
  <c r="C49" i="2"/>
  <c r="O26" i="17" s="1"/>
  <c r="H273" i="50"/>
  <c r="H271" i="50"/>
  <c r="D55" i="2"/>
  <c r="C30" i="2" l="1"/>
  <c r="O10" i="17"/>
  <c r="O24" i="17"/>
  <c r="E49" i="2"/>
  <c r="F49" i="2" s="1"/>
  <c r="E48" i="2"/>
  <c r="D31" i="2"/>
  <c r="D56" i="2"/>
  <c r="E55" i="2"/>
  <c r="D60" i="2"/>
  <c r="E30" i="2" l="1"/>
  <c r="C39" i="2"/>
  <c r="E39" i="2" s="1"/>
  <c r="O16" i="17"/>
  <c r="E31" i="30"/>
  <c r="E100" i="30" l="1"/>
  <c r="Q20" i="30" l="1"/>
  <c r="K14" i="32"/>
  <c r="K12" i="32" s="1"/>
  <c r="F31" i="30"/>
  <c r="F100" i="30" s="1"/>
  <c r="L100" i="30" s="1"/>
  <c r="F33" i="30"/>
  <c r="L33" i="30" l="1"/>
  <c r="Q33" i="30" s="1"/>
  <c r="F102" i="30"/>
  <c r="L31" i="30"/>
  <c r="Q31" i="30" s="1"/>
  <c r="F282" i="50"/>
  <c r="K18" i="32"/>
  <c r="N14" i="32"/>
  <c r="N18" i="32" s="1"/>
  <c r="L18" i="30"/>
  <c r="Q18" i="30" s="1"/>
  <c r="N12" i="32"/>
  <c r="E30" i="30"/>
  <c r="F30" i="30"/>
  <c r="F99" i="30" l="1"/>
  <c r="F270" i="50" s="1"/>
  <c r="L102" i="30"/>
  <c r="L99" i="30" s="1"/>
  <c r="Q99" i="30" s="1"/>
  <c r="Q19" i="30"/>
  <c r="Q30" i="30"/>
  <c r="L30" i="30"/>
  <c r="Q100" i="30"/>
  <c r="H282" i="50"/>
  <c r="E99" i="30"/>
  <c r="Q102" i="30" l="1"/>
  <c r="C46" i="2"/>
  <c r="E46" i="2" s="1"/>
  <c r="H270" i="50"/>
  <c r="K17" i="32"/>
  <c r="K16" i="32" s="1"/>
  <c r="F283" i="50"/>
  <c r="H283" i="50" s="1"/>
  <c r="N13" i="32"/>
  <c r="N17" i="32" s="1"/>
  <c r="F269" i="50"/>
  <c r="O23" i="17" l="1"/>
  <c r="N16" i="32"/>
  <c r="H269" i="50"/>
  <c r="H274" i="50" s="1"/>
  <c r="H281" i="50" s="1"/>
  <c r="F274" i="50"/>
  <c r="F281" i="50" s="1"/>
  <c r="C45" i="2"/>
  <c r="C50" i="2" l="1"/>
  <c r="C60" i="2" s="1"/>
  <c r="E60" i="2" s="1"/>
  <c r="E45" i="2"/>
  <c r="O22" i="17" l="1"/>
  <c r="C31" i="2"/>
  <c r="E50" i="2"/>
  <c r="C56" i="2"/>
  <c r="E56" i="2" s="1"/>
  <c r="E31" i="2" s="1"/>
  <c r="O31" i="17" l="1"/>
  <c r="F16" i="17"/>
  <c r="D16" i="17"/>
</calcChain>
</file>

<file path=xl/sharedStrings.xml><?xml version="1.0" encoding="utf-8"?>
<sst xmlns="http://schemas.openxmlformats.org/spreadsheetml/2006/main" count="834" uniqueCount="384">
  <si>
    <t xml:space="preserve">Közfoglalkoztatás 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</si>
  <si>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</si>
  <si>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</si>
  <si>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</si>
  <si>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</si>
  <si>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</si>
  <si>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</si>
  <si>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</si>
  <si>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</si>
  <si>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</si>
  <si>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</si>
  <si>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</si>
  <si>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</si>
  <si>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</si>
  <si>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</si>
  <si>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</si>
  <si>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</si>
  <si>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</si>
  <si>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</si>
  <si>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</si>
  <si>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</si>
  <si>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</si>
  <si>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</si>
  <si>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</si>
  <si>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KIADÁSI ELŐIRÁNYZAT FELHASZNÁLÁS ALAKULÁSA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</si>
  <si>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</si>
  <si>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</si>
  <si>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</si>
  <si>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</si>
  <si>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</si>
  <si>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</si>
  <si>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</si>
  <si>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</si>
  <si>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</si>
  <si>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</si>
  <si>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</si>
  <si>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</si>
  <si>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</si>
  <si>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</si>
  <si>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</si>
  <si>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</si>
  <si>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</si>
  <si>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</si>
  <si>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</si>
  <si>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</si>
  <si>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</si>
  <si>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</si>
  <si>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</si>
  <si>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</si>
  <si>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</si>
  <si>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</si>
  <si>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</si>
  <si>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</si>
  <si>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</si>
  <si>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</si>
  <si>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</si>
  <si>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</si>
  <si>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</si>
  <si>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</si>
  <si>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</si>
  <si>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Ellátottak pénzbeli juttatása </t>
  </si>
  <si>
    <t xml:space="preserve">Felújítások </t>
  </si>
  <si>
    <t>Finanszírozási kiadások</t>
  </si>
  <si>
    <t>Igazgatási tevékenység</t>
  </si>
  <si>
    <t>Adóigazgatási tevékenység</t>
  </si>
  <si>
    <t>Közfoglalkoztatás</t>
  </si>
  <si>
    <t>Egyéb működési célú kiadások</t>
  </si>
  <si>
    <t>juttatások</t>
  </si>
  <si>
    <t>Ellátottak pénzbeli juttatásai</t>
  </si>
  <si>
    <t>Felhal-mozási</t>
  </si>
  <si>
    <t>Közhatalmi bevételek</t>
  </si>
  <si>
    <t>Önkormányzati intézmények bevételei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</si>
  <si>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</si>
  <si>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</si>
  <si>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</si>
  <si>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</si>
  <si>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</si>
  <si>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</si>
  <si>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</si>
  <si>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</si>
  <si>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</si>
  <si>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</si>
  <si>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</si>
  <si>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</si>
  <si>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</si>
  <si>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Európai Uniós forrásból finanszírozott támogatással megvalósuló programok, projektek</t>
  </si>
  <si>
    <t>Európai Uniós forrásból finanszírozott támogatással megvalósuló programokhoz, projektekhez történő hozzájárulás</t>
  </si>
  <si>
    <t>AZ ÖNKORMÁNYZAT ÁLTAL IRÁNYÍTOTT KÖLTSÉGVETÉSI SZERVEK  BEVÉTELEI</t>
  </si>
  <si>
    <t>Saját bevételből, hazai támogatásból megvalósuló programok, projektek</t>
  </si>
  <si>
    <t xml:space="preserve">        önként vállalt feladatok</t>
  </si>
  <si>
    <t>állami (államigazgatási) feladat</t>
  </si>
  <si>
    <t>önként vállalt feladatokhoz</t>
  </si>
  <si>
    <t>ebből: kötelező feladatellátáshoz</t>
  </si>
  <si>
    <t>- általános működési támogatás</t>
  </si>
  <si>
    <t>á</t>
  </si>
  <si>
    <t>Állami (államigazgatási) feladatellátáshoz</t>
  </si>
  <si>
    <t>Önként vállalt feladatellátáshoz</t>
  </si>
  <si>
    <t>Ebből:kötelező feladatellátáshoz</t>
  </si>
  <si>
    <t>Finanszírozási bevételek</t>
  </si>
  <si>
    <t>BEVÉTELEK MINDÖSSZESEN (I.+II.+III.)</t>
  </si>
  <si>
    <t>Polgármesteri Hivatal pénzbeli és természetbeni ellátásai</t>
  </si>
  <si>
    <t>Civil szervezetek, személyek támogatása</t>
  </si>
  <si>
    <t>Saját bevételből, hazai támogatásból megvalósuló programok, projektek támogatása</t>
  </si>
  <si>
    <t>Rendszeres gyermekvédelmi kedvezmény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</si>
  <si>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</si>
  <si>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</si>
  <si>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</si>
  <si>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</si>
  <si>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</si>
  <si>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</si>
  <si>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</si>
  <si>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</si>
  <si>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</si>
  <si>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B115</t>
  </si>
  <si>
    <t>B116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</si>
  <si>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</si>
  <si>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</si>
  <si>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</si>
  <si>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</si>
  <si>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</si>
  <si>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Rendszeres gyermekvédelmi támogatás</t>
  </si>
  <si>
    <t>B31. Jövedelemadók</t>
  </si>
  <si>
    <t>B32. Szociális hozzájárulási adó és járulákok</t>
  </si>
  <si>
    <t>Magánszemélyek kommunális adója</t>
  </si>
  <si>
    <t>Iparűzési adó</t>
  </si>
  <si>
    <t>B36. Egyéb közhatalmi bevételek:</t>
  </si>
  <si>
    <t>B36</t>
  </si>
  <si>
    <t>B4. Működési bevételek</t>
  </si>
  <si>
    <t>B404</t>
  </si>
  <si>
    <t>B403</t>
  </si>
  <si>
    <t>B408</t>
  </si>
  <si>
    <t>B402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</si>
  <si>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</si>
  <si>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</si>
  <si>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</si>
  <si>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</si>
  <si>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</si>
  <si>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</si>
  <si>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</si>
  <si>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</si>
  <si>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</si>
  <si>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</si>
  <si>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</si>
  <si>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</si>
  <si>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</si>
  <si>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</si>
  <si>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</si>
  <si>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</si>
  <si>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</si>
  <si>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</si>
  <si>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- ebből: kötelező feladatellátás</t>
  </si>
  <si>
    <t>államigazgatási (állami) feladatok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</si>
  <si>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</si>
  <si>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</si>
  <si>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</si>
  <si>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</si>
  <si>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</si>
  <si>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</si>
  <si>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</si>
  <si>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</si>
  <si>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</si>
  <si>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</si>
  <si>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- szociális, gyermekjóléti és gyermekétkeztetési feladatok támogatása</t>
  </si>
  <si>
    <t>B3. Közhatalmi bevételek (B31.+…+B36.)</t>
  </si>
  <si>
    <t>B8131</t>
  </si>
  <si>
    <t>B33. Bérhez és foglalkoztatáshoz kapcsolódó adók</t>
  </si>
  <si>
    <t>Működési célú</t>
  </si>
  <si>
    <t>B1. Működési célú támogatások államháztartáson belülről (B11.+…+B16.):</t>
  </si>
  <si>
    <t>B401</t>
  </si>
  <si>
    <t>B409</t>
  </si>
  <si>
    <t>Egyéb pénzügyi műveletek bevételei</t>
  </si>
  <si>
    <t>Egyéb működési bevételek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</si>
  <si>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</si>
  <si>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</si>
  <si>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</si>
  <si>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</si>
  <si>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Működési célú támogatások államháztar-táson belülről     B1.</t>
  </si>
  <si>
    <t>Felhalmozási célú átvett pénzeszközök     B7.</t>
  </si>
  <si>
    <t>Működési bevételek    B4.</t>
  </si>
  <si>
    <t>Működési célú átvett pénzeszközök            B6.</t>
  </si>
  <si>
    <t>Felhalmozási célú támogatások államháztar-táson belülről      B2.</t>
  </si>
  <si>
    <t xml:space="preserve">B16 </t>
  </si>
  <si>
    <t xml:space="preserve">B25 </t>
  </si>
  <si>
    <t>Kamatbevételek</t>
  </si>
  <si>
    <t>Szolgáltatások ellenértéke</t>
  </si>
  <si>
    <t>Áru- és készletértékesítés ellenértéke</t>
  </si>
  <si>
    <t>Közvetített szolgáltatások ellenértéke</t>
  </si>
  <si>
    <t>Egyéb közhatalmi bevételek</t>
  </si>
  <si>
    <t>Tulajdonosi bevételek</t>
  </si>
  <si>
    <t>B52-53</t>
  </si>
  <si>
    <t>- szociális feladatok egyéb támogatása</t>
  </si>
  <si>
    <t>államház-tartáson kívülre</t>
  </si>
  <si>
    <t>államház-tartáson belülre</t>
  </si>
  <si>
    <t>tarta-lékok</t>
  </si>
  <si>
    <t>Egyéb felhalmozás célú kiadások</t>
  </si>
  <si>
    <t>BERUHÁZÁSOK, FELÚJÍTÁSOK ÉS EGYÉB FELHALMOZÁSI</t>
  </si>
  <si>
    <t>JELLEGŰ KIADÁSOK, TÁMOGATÁSOK ÖSSZESEN</t>
  </si>
  <si>
    <t>Önkormányzati hozzájárulás</t>
  </si>
  <si>
    <t>B407</t>
  </si>
  <si>
    <t>B406</t>
  </si>
  <si>
    <t>Ellátási díjak</t>
  </si>
  <si>
    <t>Kiszámlázott általános forgalmi adó</t>
  </si>
  <si>
    <t>Általános forgalmi adó visszatérítés</t>
  </si>
  <si>
    <t>B405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</si>
  <si>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</si>
  <si>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</si>
  <si>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</si>
  <si>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</si>
  <si>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</si>
  <si>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 xml:space="preserve">KÖLTSÉGVETÉSI KIADÁSOK ÖSSZESEN </t>
  </si>
  <si>
    <t>Költségvetési egyenleg - hiány (Költségvetési bevételek összesen -Költségvetési kiadások összesen)</t>
  </si>
  <si>
    <t>Értékesítések</t>
  </si>
  <si>
    <t>Cím megnevezése</t>
  </si>
  <si>
    <t>Költségvetési bevételek B1-B7.</t>
  </si>
  <si>
    <t>Finanszírozási bevételek B8.</t>
  </si>
  <si>
    <t>Család- és nővédelmi egészségügyi gondozás</t>
  </si>
  <si>
    <t>- önkormányzati hivatal működésének támogatása</t>
  </si>
  <si>
    <t>- zöldterület-gazdálkodással kapcsolatos feladatok ellátásának támogatása</t>
  </si>
  <si>
    <t>- közvilágítás fenntartásának támogatása</t>
  </si>
  <si>
    <t>- köztemető fenntartásával kapcsolatos feladatok támogatása</t>
  </si>
  <si>
    <t>- közutak fenntartásának támogatása</t>
  </si>
  <si>
    <t>- egyéb önkormányzati feladatok támogatása</t>
  </si>
  <si>
    <t>- lakott külterülettel kapcsolatos feladatok támogatása</t>
  </si>
  <si>
    <t>- óvodapedagógusok és a nevelő munkát közvetlenül segítők bértámogatása</t>
  </si>
  <si>
    <t>- óvodaműködtetési támogatás</t>
  </si>
  <si>
    <t>- szociális étkeztetés</t>
  </si>
  <si>
    <t>- házi segítségnyújtás</t>
  </si>
  <si>
    <t>- falu/tanyagondnoki szolgáltatás</t>
  </si>
  <si>
    <t>- időskorúak nappali intézményi ellátása</t>
  </si>
  <si>
    <t>OEP támogatás - védőnő</t>
  </si>
  <si>
    <t>Közművelődési intézmények, közösségi színterek működtetése</t>
  </si>
  <si>
    <t>Família Szociális Alapszolgáltatási Központ</t>
  </si>
  <si>
    <t>Csengődi Napközi Otthonos Óvoda</t>
  </si>
  <si>
    <t>- családsegítés és gyermekjóléti szolgáltatások</t>
  </si>
  <si>
    <t>- gyermekétkeztetés, rászoruló gyermekek szünidei étkeztetése</t>
  </si>
  <si>
    <t>Szociális tűzifa</t>
  </si>
  <si>
    <t>Költségvetési hiány finanszírozása -  belső finanszírozás - előző év maradványának igénybevétele</t>
  </si>
  <si>
    <t xml:space="preserve">Előző évi maradvány           </t>
  </si>
  <si>
    <t xml:space="preserve"> Likviditási célú hitelek, kölcsönök törlesztése pénzügyi vállalkozásnak</t>
  </si>
  <si>
    <t>Államháztartáson belüli megelőlegezések  visszafizetése</t>
  </si>
  <si>
    <t xml:space="preserve"> 'Felhalmozási bevétel B5</t>
  </si>
  <si>
    <t>Bursa Hungarica</t>
  </si>
  <si>
    <t>B8112</t>
  </si>
  <si>
    <t>Likviditási célú hitel, kölcsönök felvétele pénzügyi vállalkozástól</t>
  </si>
  <si>
    <t>B814</t>
  </si>
  <si>
    <t>Államháztartáson belüli megelőlegezések</t>
  </si>
  <si>
    <t>- ágazati-, kiegészítő ágazati pótlék</t>
  </si>
  <si>
    <t>Gyermekvédelmi ellátások</t>
  </si>
  <si>
    <t>- működési célú költségvetési támogatás és kiegészítő támogatás</t>
  </si>
  <si>
    <t>BEVÉTELEK ÖSSZESEN A+B</t>
  </si>
  <si>
    <t>Nyári diákmunka támogatása</t>
  </si>
  <si>
    <t>B351</t>
  </si>
  <si>
    <t>B354</t>
  </si>
  <si>
    <t>B341</t>
  </si>
  <si>
    <t xml:space="preserve">        - Szociális célú tüzelőanyag vásárláshoz kapcsolódó kiegészítő támogatás </t>
  </si>
  <si>
    <t>Egyéb kiadói tevékenység</t>
  </si>
  <si>
    <t>Étkeztetés</t>
  </si>
  <si>
    <t>Csengődi Polgármesteri Hivatal</t>
  </si>
  <si>
    <t>Csengőd Község Önkormányzata</t>
  </si>
  <si>
    <t>Pályázatok</t>
  </si>
  <si>
    <t>Társulási hozzájárulás</t>
  </si>
  <si>
    <t>Előző év költségvetési maradványának igénybevétele</t>
  </si>
  <si>
    <t>INTÉZMÉNYEK ÖSSZESEN ( 1. - 3. sorok )</t>
  </si>
  <si>
    <t>Rendkívüli települési támogatás</t>
  </si>
  <si>
    <t>Önkormányzat igazgatási tevékenysége</t>
  </si>
  <si>
    <t>Köztemetés</t>
  </si>
  <si>
    <t>Közutak fenntarása</t>
  </si>
  <si>
    <t>Önkormányzati vagyongazdálkodás, hasznosítás</t>
  </si>
  <si>
    <t>Önkormányzati rendezvények</t>
  </si>
  <si>
    <t xml:space="preserve"> Köztemető fenntartása</t>
  </si>
  <si>
    <t>Szociális, egészségügyi, gyermekvédelmi ellátások, segélyek, támogatások</t>
  </si>
  <si>
    <t>Összesen 1-3. sorok</t>
  </si>
  <si>
    <t>B. Az Önkormányzat bevételei összesen B1.+…+B8.</t>
  </si>
  <si>
    <t>Közfoglalkoztatási mintaprogram</t>
  </si>
  <si>
    <t>KÖFOG-1.2.1-VEKOP-16.-2016-00363.</t>
  </si>
  <si>
    <t xml:space="preserve">TOP-3.2.1-15-BK1-2016-00037. </t>
  </si>
  <si>
    <t xml:space="preserve">TOP-3.2.2-15-BK1-2016-00003 </t>
  </si>
  <si>
    <t xml:space="preserve">TOP-4.2.1-15-BK1-2016-00010 </t>
  </si>
  <si>
    <t>Szabadidősport (rekreációs) tevékenység</t>
  </si>
  <si>
    <t>ÖNKORMÁNYZATI KIADÁSOK ÖSSZESEN ( 4- sorok )</t>
  </si>
  <si>
    <t>Az Önkormányzat bevételei</t>
  </si>
  <si>
    <t>Az Önkormányzat finanszírozási bevételei</t>
  </si>
  <si>
    <t>Finanszírozási bevétel</t>
  </si>
  <si>
    <t>Ebből: Ebrendészeti hozzájárulás</t>
  </si>
  <si>
    <t xml:space="preserve">            Házi-és gyermekügyeleti hozzájárulás</t>
  </si>
  <si>
    <t xml:space="preserve">           Ivóvíz hozzájárulás</t>
  </si>
  <si>
    <t>Összesen (II./1-7.)</t>
  </si>
  <si>
    <t>Összesen (I/1-7.)</t>
  </si>
  <si>
    <t>Képviselő testületi és igazgatási feladatok</t>
  </si>
  <si>
    <t>Zöldterület-gazdálkodássa, településüzemeltetéssell kapcsolatos feladatok</t>
  </si>
  <si>
    <t>TOP 3.2.1-15 Energetikai pályázat</t>
  </si>
  <si>
    <t>TOP 3.2.2-15 Biomassza fűtésrendszer kialakítása</t>
  </si>
  <si>
    <t>CSENGŐD KÖZSÉG ÖNKORMÁNYZATA</t>
  </si>
  <si>
    <t xml:space="preserve">                                                                                                        Állami (államigazgatási) feladatellátáshoz</t>
  </si>
  <si>
    <t xml:space="preserve">                                              Önként vállalt feladatellátáshoz</t>
  </si>
  <si>
    <t xml:space="preserve">           '- kulturális illetménypótlék</t>
  </si>
  <si>
    <t>Környezetvédelmi feladatok</t>
  </si>
  <si>
    <t>Elvonások és befizetések</t>
  </si>
  <si>
    <t>TOP-4.2.1-15 Szociális étkeztetés fejlesztése</t>
  </si>
  <si>
    <t>Konyhai gépek beszerzése</t>
  </si>
  <si>
    <t>B411</t>
  </si>
  <si>
    <t>B25 Egyéb felhalmozási célú támogatások bevételei államháztartáson belülről</t>
  </si>
  <si>
    <t>B21 Felhalmozási célú önkormányzati támogatások</t>
  </si>
  <si>
    <t>- 2016. évről áthúzódó bérkompenzáció támogatása</t>
  </si>
  <si>
    <t>-Polgármesteri illetmény támogatása</t>
  </si>
  <si>
    <t>-nem közművel összegyűjtött háztartási szennyvíz ártalmatlanítása</t>
  </si>
  <si>
    <t>- közművelődési feladatok támogatása</t>
  </si>
  <si>
    <t xml:space="preserve">       '- közművelődési feladatok támogatása</t>
  </si>
  <si>
    <t>VP</t>
  </si>
  <si>
    <t>Óvodabővítés</t>
  </si>
  <si>
    <t>Tárgyi eszköz beszerzése</t>
  </si>
  <si>
    <t>TOP-1.4.1-16-BK1-2017-00007.</t>
  </si>
  <si>
    <t>TOP-1.4.1.-16. Mini bölcsőde létrehozása</t>
  </si>
  <si>
    <t>Építési beruházás</t>
  </si>
  <si>
    <t>Eszköz beszerzés</t>
  </si>
  <si>
    <t>Közművelődés</t>
  </si>
  <si>
    <t>VP6-7.2.1-7.4.1.3-17 -piac önrész</t>
  </si>
  <si>
    <t>VP6-7.2.1-7.4.1.3-17 -piac</t>
  </si>
  <si>
    <t>-Tárgyi eszközök beszezése</t>
  </si>
  <si>
    <t>Szociális és gyermekjóléti feladatok</t>
  </si>
  <si>
    <t>VP6-7.2.1-7.4.1.2-16-"Telefonos út stabilizációja"</t>
  </si>
  <si>
    <t>VP6-19.2.1.-91-3.-17 -térfigyelőkamera rendszer kiépítése</t>
  </si>
  <si>
    <r>
      <t xml:space="preserve">AZ ÖNKORMÁNYZAT KIADÁSAI FINANSZÍROZÁSI KIADÁSOKKAL ÖSSZESEN </t>
    </r>
    <r>
      <rPr>
        <sz val="8"/>
        <rFont val="Times New Roman CE"/>
        <family val="1"/>
        <charset val="238"/>
      </rPr>
      <t>( 1-20. sorok )</t>
    </r>
  </si>
  <si>
    <t>Költségvetési tartalék, céltartalék</t>
  </si>
  <si>
    <t>Informatikai eszköz beszerzése</t>
  </si>
  <si>
    <t>2018. évi országgyűlési választás</t>
  </si>
  <si>
    <t>B1. Működési célú támogatások államháztartáson belülről (B11.+…+B16.)</t>
  </si>
  <si>
    <t>Egyéb működési célú bevételek</t>
  </si>
  <si>
    <t>Csengőd 68. hrsz-ú ingatlan vásárlása</t>
  </si>
  <si>
    <t>Területalapú támogatás</t>
  </si>
  <si>
    <t>Klímaberendezés</t>
  </si>
  <si>
    <t>Varroda utca vásárlása</t>
  </si>
  <si>
    <t>Mezei őrszolgálat fenntartása</t>
  </si>
  <si>
    <t>Mezei őrszolgálat</t>
  </si>
  <si>
    <t>Csengőd 053/9. hrsz-ú ingataln vásárlása</t>
  </si>
  <si>
    <t>Fogorvosi, háziorvosi alapellátás</t>
  </si>
  <si>
    <t>Bethlen Gábor Alapból támogatás</t>
  </si>
  <si>
    <t>Készletértékesítés ellenértéke</t>
  </si>
  <si>
    <t>Felhalmozási     célú</t>
  </si>
  <si>
    <t>- beszámítás</t>
  </si>
  <si>
    <t xml:space="preserve">        - ASP támogatás</t>
  </si>
  <si>
    <t>- 2017. évi elszámolásból keletkezett pótigény</t>
  </si>
  <si>
    <t>B21</t>
  </si>
  <si>
    <t>TOP-5.3.1-16-BK1-2017-00004.</t>
  </si>
  <si>
    <t>Közvetített szolgáltatások</t>
  </si>
  <si>
    <t>1</t>
  </si>
  <si>
    <t>Nem veszélyes hulladék szállítása</t>
  </si>
  <si>
    <t>TOP-5.3.1-16-2017-BK1-00037</t>
  </si>
  <si>
    <t>Óvodai, egyéb szociális és gyermekvédelmi  feladatok</t>
  </si>
  <si>
    <t>Módosított előirányzat</t>
  </si>
  <si>
    <t xml:space="preserve">Csengőd Község Önkormányzata </t>
  </si>
  <si>
    <t>Igazgatás</t>
  </si>
  <si>
    <t>Ebből: Informatikai eszközök</t>
  </si>
  <si>
    <t xml:space="preserve">             Tárgyi eszköz beszerzése</t>
  </si>
  <si>
    <t>Óvodai kapacitásbővítést célzó beruházás (épületbővítés, eszközbeszerzés)</t>
  </si>
  <si>
    <t>Vagyongazdálkodás</t>
  </si>
  <si>
    <t>Tárgyi eszköz (állvány, termosztát, padlóventilátor, frissítő gömb szórófej))</t>
  </si>
  <si>
    <t>Köztemető</t>
  </si>
  <si>
    <t>ebből:Urnafal beszerzése</t>
  </si>
  <si>
    <t>ebből: Hangfal</t>
  </si>
  <si>
    <t>Mikrofon</t>
  </si>
  <si>
    <t>Keverőpult</t>
  </si>
  <si>
    <t>Vasaló és alkatrész</t>
  </si>
  <si>
    <t>Evőeszközök, tálak, tányérok, poharak,</t>
  </si>
  <si>
    <t>Tárgyi eszköz beszerzése községgazdálkodáshoz (parabola tükör, kompresszor, járműkövető egység)</t>
  </si>
  <si>
    <t>Mezei őrszolgálat-fegyverszekrény beszerzése</t>
  </si>
  <si>
    <t>Óvodai feladatellátáshoz tárgyi eszköz beszerzése (porszívó)</t>
  </si>
  <si>
    <t>Tárgyi eszköz</t>
  </si>
  <si>
    <t>Ebből: informatikai eszközök</t>
  </si>
  <si>
    <t xml:space="preserve">             kazán</t>
  </si>
  <si>
    <t xml:space="preserve">           egyéb kisértékű tárgyú eszközök</t>
  </si>
  <si>
    <t>Tárgyi eszköz beszerzése (szőnyeg)</t>
  </si>
  <si>
    <t>VP6-19.2.1.-91-3.-17 -Térfigyelőkamera rendszer</t>
  </si>
  <si>
    <t xml:space="preserve"> VP6-7.2.1-7.4.1.2-16 pályázat-Telefonos út</t>
  </si>
  <si>
    <t>József Attila utca (Csengőd 576.) felújítása</t>
  </si>
  <si>
    <t>Óvadakapacitás bővítés</t>
  </si>
  <si>
    <t>Beruházások és felújítások összesen</t>
  </si>
  <si>
    <t xml:space="preserve">        - Rendkívüli önkormányzatitámogatás</t>
  </si>
  <si>
    <t xml:space="preserve">       - Téli rezsicsökkentés</t>
  </si>
  <si>
    <t xml:space="preserve">      -  Állami támogatás</t>
  </si>
  <si>
    <t xml:space="preserve">        - Bérkompenzáció-előleg</t>
  </si>
  <si>
    <t>Utak fejlesztése</t>
  </si>
  <si>
    <t>B410</t>
  </si>
  <si>
    <t>Biztosító által kifzetett kártérítés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</si>
</sst>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H_U_F_-;\-* #,##0\ _H_U_F_-;_-* &quot;-&quot;\ _H_U_F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0.000"/>
  </numFmts>
  <fonts count="72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i/>
      <sz val="10"/>
      <name val="Arial CE"/>
      <charset val="238"/>
    </font>
    <font>
      <b/>
      <i/>
      <sz val="8"/>
      <name val="Times New Roman CE"/>
      <charset val="238"/>
    </font>
    <font>
      <sz val="10"/>
      <name val="Times New Roman CE"/>
      <charset val="238"/>
    </font>
    <font>
      <sz val="10"/>
      <color indexed="10"/>
      <name val="Times New Roman"/>
      <family val="1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7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name val="Arial CE"/>
      <charset val="238"/>
    </font>
    <font>
      <sz val="10"/>
      <color theme="1"/>
      <name val="Times New Roman CE"/>
      <charset val="238"/>
    </font>
    <font>
      <b/>
      <sz val="7"/>
      <color theme="1"/>
      <name val="Times New Roman CE"/>
      <family val="1"/>
      <charset val="238"/>
    </font>
    <font>
      <b/>
      <i/>
      <sz val="8"/>
      <color rgb="FFFFFF00"/>
      <name val="Times New Roman CE"/>
      <family val="1"/>
      <charset val="238"/>
    </font>
    <font>
      <i/>
      <sz val="8"/>
      <color rgb="FFFFFF00"/>
      <name val="Times New Roman CE"/>
      <family val="1"/>
      <charset val="238"/>
    </font>
    <font>
      <sz val="8"/>
      <color rgb="FFFFFF00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i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i/>
      <sz val="8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i/>
      <sz val="9"/>
      <name val="Times New Roman CE"/>
      <charset val="238"/>
    </font>
    <font>
      <b/>
      <sz val="8"/>
      <name val="Arial CE"/>
      <charset val="238"/>
    </font>
    <font>
      <b/>
      <i/>
      <sz val="1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969">
    <xf numFmtId="0" fontId="0" fillId="0" borderId="0" xfId="0"/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3" fontId="9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5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horizontal="justify" vertical="center" shrinkToFit="1"/>
    </xf>
    <xf numFmtId="0" fontId="17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20" fillId="0" borderId="0" xfId="0" applyFont="1"/>
    <xf numFmtId="3" fontId="12" fillId="0" borderId="0" xfId="2" applyNumberFormat="1" applyFont="1" applyFill="1" applyAlignment="1">
      <alignment vertical="center"/>
    </xf>
    <xf numFmtId="3" fontId="13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Alignment="1">
      <alignment vertical="center"/>
    </xf>
    <xf numFmtId="0" fontId="18" fillId="0" borderId="0" xfId="0" applyFont="1"/>
    <xf numFmtId="3" fontId="0" fillId="0" borderId="0" xfId="0" applyNumberFormat="1"/>
    <xf numFmtId="3" fontId="28" fillId="0" borderId="0" xfId="2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9" fillId="0" borderId="0" xfId="2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0" fontId="32" fillId="0" borderId="0" xfId="0" applyFont="1"/>
    <xf numFmtId="3" fontId="3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3" fontId="2" fillId="0" borderId="0" xfId="0" applyNumberFormat="1" applyFont="1" applyFill="1" applyAlignment="1">
      <alignment vertical="center" shrinkToFit="1"/>
    </xf>
    <xf numFmtId="3" fontId="12" fillId="0" borderId="0" xfId="0" applyNumberFormat="1" applyFont="1" applyFill="1" applyAlignment="1">
      <alignment vertical="center"/>
    </xf>
    <xf numFmtId="3" fontId="23" fillId="0" borderId="8" xfId="0" applyNumberFormat="1" applyFont="1" applyFill="1" applyBorder="1" applyAlignment="1">
      <alignment vertical="center"/>
    </xf>
    <xf numFmtId="3" fontId="23" fillId="0" borderId="8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center" shrinkToFit="1"/>
    </xf>
    <xf numFmtId="2" fontId="23" fillId="0" borderId="0" xfId="0" applyNumberFormat="1" applyFont="1" applyFill="1" applyAlignment="1">
      <alignment shrinkToFit="1"/>
    </xf>
    <xf numFmtId="0" fontId="36" fillId="0" borderId="0" xfId="0" applyFont="1" applyFill="1" applyAlignment="1">
      <alignment horizontal="justify" shrinkToFit="1"/>
    </xf>
    <xf numFmtId="0" fontId="36" fillId="0" borderId="0" xfId="0" applyFont="1" applyFill="1" applyAlignment="1">
      <alignment horizontal="right" shrinkToFit="1"/>
    </xf>
    <xf numFmtId="0" fontId="23" fillId="0" borderId="17" xfId="0" applyFont="1" applyFill="1" applyBorder="1" applyAlignment="1">
      <alignment horizontal="center" shrinkToFit="1"/>
    </xf>
    <xf numFmtId="2" fontId="23" fillId="0" borderId="7" xfId="0" applyNumberFormat="1" applyFont="1" applyFill="1" applyBorder="1" applyAlignment="1">
      <alignment shrinkToFit="1"/>
    </xf>
    <xf numFmtId="0" fontId="23" fillId="0" borderId="10" xfId="0" applyFont="1" applyFill="1" applyBorder="1" applyAlignment="1">
      <alignment horizontal="justify" shrinkToFit="1"/>
    </xf>
    <xf numFmtId="0" fontId="23" fillId="0" borderId="35" xfId="0" applyFont="1" applyFill="1" applyBorder="1" applyAlignment="1">
      <alignment horizontal="center" shrinkToFit="1"/>
    </xf>
    <xf numFmtId="0" fontId="24" fillId="0" borderId="9" xfId="0" applyFont="1" applyFill="1" applyBorder="1" applyAlignment="1">
      <alignment horizontal="center" shrinkToFit="1"/>
    </xf>
    <xf numFmtId="0" fontId="23" fillId="0" borderId="4" xfId="0" applyFont="1" applyFill="1" applyBorder="1" applyAlignment="1">
      <alignment horizontal="center" shrinkToFit="1"/>
    </xf>
    <xf numFmtId="2" fontId="23" fillId="0" borderId="36" xfId="0" applyNumberFormat="1" applyFont="1" applyFill="1" applyBorder="1" applyAlignment="1">
      <alignment shrinkToFit="1"/>
    </xf>
    <xf numFmtId="0" fontId="35" fillId="0" borderId="5" xfId="0" applyFont="1" applyFill="1" applyBorder="1" applyAlignment="1">
      <alignment horizontal="justify" shrinkToFit="1"/>
    </xf>
    <xf numFmtId="0" fontId="35" fillId="0" borderId="37" xfId="0" applyFont="1" applyFill="1" applyBorder="1" applyAlignment="1">
      <alignment horizontal="center" shrinkToFit="1"/>
    </xf>
    <xf numFmtId="2" fontId="24" fillId="0" borderId="38" xfId="0" applyNumberFormat="1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shrinkToFit="1"/>
    </xf>
    <xf numFmtId="2" fontId="23" fillId="0" borderId="23" xfId="0" applyNumberFormat="1" applyFont="1" applyFill="1" applyBorder="1" applyAlignment="1">
      <alignment shrinkToFit="1"/>
    </xf>
    <xf numFmtId="3" fontId="23" fillId="2" borderId="23" xfId="0" applyNumberFormat="1" applyFont="1" applyFill="1" applyBorder="1" applyAlignment="1">
      <alignment horizontal="right" shrinkToFit="1"/>
    </xf>
    <xf numFmtId="2" fontId="23" fillId="0" borderId="23" xfId="0" applyNumberFormat="1" applyFont="1" applyFill="1" applyBorder="1" applyAlignment="1">
      <alignment horizontal="left" shrinkToFit="1"/>
    </xf>
    <xf numFmtId="2" fontId="23" fillId="0" borderId="11" xfId="0" applyNumberFormat="1" applyFont="1" applyFill="1" applyBorder="1" applyAlignment="1">
      <alignment shrinkToFit="1"/>
    </xf>
    <xf numFmtId="3" fontId="23" fillId="2" borderId="11" xfId="0" applyNumberFormat="1" applyFont="1" applyFill="1" applyBorder="1" applyAlignment="1">
      <alignment horizontal="right" shrinkToFit="1"/>
    </xf>
    <xf numFmtId="2" fontId="24" fillId="0" borderId="2" xfId="0" applyNumberFormat="1" applyFont="1" applyFill="1" applyBorder="1" applyAlignment="1">
      <alignment horizontal="center" vertical="center" shrinkToFit="1"/>
    </xf>
    <xf numFmtId="2" fontId="24" fillId="0" borderId="3" xfId="0" applyNumberFormat="1" applyFont="1" applyFill="1" applyBorder="1" applyAlignment="1">
      <alignment vertical="center" shrinkToFit="1"/>
    </xf>
    <xf numFmtId="0" fontId="23" fillId="0" borderId="46" xfId="0" applyFont="1" applyFill="1" applyBorder="1" applyAlignment="1">
      <alignment horizontal="center" vertical="center" shrinkToFit="1"/>
    </xf>
    <xf numFmtId="2" fontId="23" fillId="0" borderId="0" xfId="0" applyNumberFormat="1" applyFont="1" applyFill="1" applyBorder="1" applyAlignment="1">
      <alignment vertical="center" wrapText="1"/>
    </xf>
    <xf numFmtId="3" fontId="24" fillId="0" borderId="47" xfId="0" applyNumberFormat="1" applyFont="1" applyFill="1" applyBorder="1" applyAlignment="1">
      <alignment horizontal="right" vertical="center" shrinkToFit="1"/>
    </xf>
    <xf numFmtId="2" fontId="23" fillId="0" borderId="18" xfId="0" applyNumberFormat="1" applyFont="1" applyFill="1" applyBorder="1" applyAlignment="1">
      <alignment shrinkToFit="1"/>
    </xf>
    <xf numFmtId="2" fontId="24" fillId="0" borderId="9" xfId="0" applyNumberFormat="1" applyFont="1" applyFill="1" applyBorder="1" applyAlignment="1">
      <alignment vertical="center" shrinkToFit="1"/>
    </xf>
    <xf numFmtId="3" fontId="23" fillId="0" borderId="9" xfId="0" applyNumberFormat="1" applyFont="1" applyFill="1" applyBorder="1" applyAlignment="1">
      <alignment horizontal="right" vertical="center" shrinkToFit="1"/>
    </xf>
    <xf numFmtId="0" fontId="24" fillId="0" borderId="2" xfId="0" applyFont="1" applyFill="1" applyBorder="1" applyAlignment="1">
      <alignment horizontal="center" shrinkToFit="1"/>
    </xf>
    <xf numFmtId="2" fontId="24" fillId="0" borderId="3" xfId="0" applyNumberFormat="1" applyFont="1" applyFill="1" applyBorder="1" applyAlignment="1">
      <alignment shrinkToFit="1"/>
    </xf>
    <xf numFmtId="0" fontId="24" fillId="0" borderId="46" xfId="0" applyFont="1" applyFill="1" applyBorder="1" applyAlignment="1">
      <alignment horizontal="center" shrinkToFit="1"/>
    </xf>
    <xf numFmtId="2" fontId="24" fillId="0" borderId="11" xfId="0" applyNumberFormat="1" applyFont="1" applyFill="1" applyBorder="1" applyAlignment="1">
      <alignment shrinkToFit="1"/>
    </xf>
    <xf numFmtId="0" fontId="24" fillId="0" borderId="31" xfId="0" applyFont="1" applyFill="1" applyBorder="1" applyAlignment="1">
      <alignment horizontal="center" shrinkToFit="1"/>
    </xf>
    <xf numFmtId="2" fontId="24" fillId="0" borderId="48" xfId="0" applyNumberFormat="1" applyFont="1" applyFill="1" applyBorder="1" applyAlignment="1">
      <alignment shrinkToFit="1"/>
    </xf>
    <xf numFmtId="3" fontId="36" fillId="0" borderId="0" xfId="0" applyNumberFormat="1" applyFont="1" applyFill="1" applyAlignment="1">
      <alignment horizontal="justify" shrinkToFit="1"/>
    </xf>
    <xf numFmtId="0" fontId="37" fillId="0" borderId="0" xfId="0" applyFont="1" applyFill="1" applyAlignment="1">
      <alignment horizontal="justify" shrinkToFit="1"/>
    </xf>
    <xf numFmtId="0" fontId="37" fillId="0" borderId="0" xfId="0" applyFont="1" applyFill="1" applyAlignment="1">
      <alignment horizontal="center" shrinkToFit="1"/>
    </xf>
    <xf numFmtId="0" fontId="26" fillId="0" borderId="0" xfId="0" applyFont="1" applyFill="1" applyAlignment="1">
      <alignment vertical="center" shrinkToFit="1"/>
    </xf>
    <xf numFmtId="0" fontId="23" fillId="0" borderId="0" xfId="0" applyFont="1"/>
    <xf numFmtId="0" fontId="38" fillId="0" borderId="0" xfId="0" applyFont="1" applyFill="1" applyAlignment="1">
      <alignment horizontal="right" vertical="center" shrinkToFit="1"/>
    </xf>
    <xf numFmtId="0" fontId="26" fillId="0" borderId="3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 shrinkToFit="1"/>
    </xf>
    <xf numFmtId="0" fontId="26" fillId="0" borderId="32" xfId="0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4" fontId="28" fillId="0" borderId="0" xfId="2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 shrinkToFit="1"/>
    </xf>
    <xf numFmtId="3" fontId="14" fillId="0" borderId="1" xfId="2" applyNumberFormat="1" applyFont="1" applyFill="1" applyBorder="1" applyAlignment="1">
      <alignment vertical="center"/>
    </xf>
    <xf numFmtId="3" fontId="29" fillId="0" borderId="1" xfId="2" applyNumberFormat="1" applyFont="1" applyFill="1" applyBorder="1" applyAlignment="1">
      <alignment vertical="center"/>
    </xf>
    <xf numFmtId="3" fontId="12" fillId="0" borderId="1" xfId="2" applyNumberFormat="1" applyFont="1" applyFill="1" applyBorder="1" applyAlignment="1">
      <alignment vertical="center"/>
    </xf>
    <xf numFmtId="3" fontId="28" fillId="0" borderId="1" xfId="2" applyNumberFormat="1" applyFont="1" applyFill="1" applyBorder="1" applyAlignment="1">
      <alignment vertical="center"/>
    </xf>
    <xf numFmtId="0" fontId="40" fillId="0" borderId="79" xfId="0" applyFont="1" applyFill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right" vertical="center" shrinkToFit="1"/>
    </xf>
    <xf numFmtId="3" fontId="24" fillId="2" borderId="42" xfId="0" applyNumberFormat="1" applyFont="1" applyFill="1" applyBorder="1" applyAlignment="1">
      <alignment horizontal="right" shrinkToFit="1"/>
    </xf>
    <xf numFmtId="3" fontId="36" fillId="0" borderId="0" xfId="0" applyNumberFormat="1" applyFont="1" applyFill="1" applyAlignment="1">
      <alignment horizontal="right" shrinkToFit="1"/>
    </xf>
    <xf numFmtId="0" fontId="4" fillId="0" borderId="0" xfId="0" applyFont="1" applyFill="1" applyAlignment="1">
      <alignment vertical="center" wrapText="1" shrinkToFit="1"/>
    </xf>
    <xf numFmtId="3" fontId="37" fillId="0" borderId="0" xfId="0" applyNumberFormat="1" applyFont="1" applyFill="1" applyAlignment="1">
      <alignment horizontal="justify" shrinkToFit="1"/>
    </xf>
    <xf numFmtId="3" fontId="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shrinkToFit="1"/>
    </xf>
    <xf numFmtId="3" fontId="5" fillId="0" borderId="0" xfId="0" applyNumberFormat="1" applyFont="1" applyFill="1" applyAlignment="1">
      <alignment shrinkToFit="1"/>
    </xf>
    <xf numFmtId="0" fontId="12" fillId="0" borderId="0" xfId="0" applyFont="1" applyFill="1" applyAlignment="1">
      <alignment vertical="center" shrinkToFit="1"/>
    </xf>
    <xf numFmtId="1" fontId="12" fillId="0" borderId="0" xfId="2" applyNumberFormat="1" applyFont="1" applyFill="1" applyAlignment="1">
      <alignment horizontal="right" vertical="center"/>
    </xf>
    <xf numFmtId="3" fontId="34" fillId="0" borderId="0" xfId="2" applyNumberFormat="1" applyFont="1" applyFill="1" applyAlignment="1">
      <alignment horizontal="center" vertical="center"/>
    </xf>
    <xf numFmtId="3" fontId="20" fillId="0" borderId="0" xfId="0" applyNumberFormat="1" applyFont="1"/>
    <xf numFmtId="3" fontId="14" fillId="0" borderId="0" xfId="2" applyNumberFormat="1" applyFont="1" applyFill="1" applyBorder="1" applyAlignment="1">
      <alignment vertical="center"/>
    </xf>
    <xf numFmtId="3" fontId="29" fillId="0" borderId="0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3" fontId="28" fillId="0" borderId="0" xfId="2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27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44" fillId="3" borderId="0" xfId="0" applyNumberFormat="1" applyFont="1" applyFill="1" applyAlignment="1">
      <alignment vertical="center"/>
    </xf>
    <xf numFmtId="3" fontId="45" fillId="3" borderId="0" xfId="0" applyNumberFormat="1" applyFont="1" applyFill="1" applyAlignment="1">
      <alignment vertical="center"/>
    </xf>
    <xf numFmtId="3" fontId="46" fillId="3" borderId="0" xfId="0" applyNumberFormat="1" applyFont="1" applyFill="1" applyAlignment="1">
      <alignment vertical="center"/>
    </xf>
    <xf numFmtId="3" fontId="33" fillId="3" borderId="0" xfId="0" applyNumberFormat="1" applyFont="1" applyFill="1" applyAlignment="1">
      <alignment vertical="center"/>
    </xf>
    <xf numFmtId="3" fontId="42" fillId="3" borderId="0" xfId="2" applyNumberFormat="1" applyFont="1" applyFill="1" applyAlignment="1">
      <alignment horizontal="center" vertical="center"/>
    </xf>
    <xf numFmtId="3" fontId="34" fillId="3" borderId="8" xfId="0" applyNumberFormat="1" applyFont="1" applyFill="1" applyBorder="1" applyAlignment="1">
      <alignment horizontal="left" vertical="center" wrapText="1"/>
    </xf>
    <xf numFmtId="3" fontId="23" fillId="3" borderId="8" xfId="0" applyNumberFormat="1" applyFont="1" applyFill="1" applyBorder="1" applyAlignment="1">
      <alignment horizontal="right" vertical="center"/>
    </xf>
    <xf numFmtId="3" fontId="23" fillId="3" borderId="28" xfId="0" applyNumberFormat="1" applyFont="1" applyFill="1" applyBorder="1" applyAlignment="1">
      <alignment horizontal="right" vertical="center"/>
    </xf>
    <xf numFmtId="3" fontId="34" fillId="3" borderId="24" xfId="0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2" fontId="23" fillId="3" borderId="26" xfId="0" applyNumberFormat="1" applyFont="1" applyFill="1" applyBorder="1" applyAlignment="1">
      <alignment wrapText="1"/>
    </xf>
    <xf numFmtId="3" fontId="23" fillId="3" borderId="28" xfId="0" applyNumberFormat="1" applyFont="1" applyFill="1" applyBorder="1" applyAlignment="1">
      <alignment vertical="center" wrapText="1"/>
    </xf>
    <xf numFmtId="3" fontId="23" fillId="3" borderId="26" xfId="0" applyNumberFormat="1" applyFont="1" applyFill="1" applyBorder="1" applyAlignment="1">
      <alignment horizontal="left" vertical="center" wrapText="1"/>
    </xf>
    <xf numFmtId="3" fontId="23" fillId="3" borderId="57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shrinkToFit="1"/>
    </xf>
    <xf numFmtId="3" fontId="23" fillId="0" borderId="38" xfId="0" applyNumberFormat="1" applyFont="1" applyFill="1" applyBorder="1" applyAlignment="1">
      <alignment horizontal="right" vertical="center" shrinkToFit="1"/>
    </xf>
    <xf numFmtId="3" fontId="24" fillId="0" borderId="39" xfId="0" applyNumberFormat="1" applyFont="1" applyFill="1" applyBorder="1" applyAlignment="1">
      <alignment horizontal="right" vertical="center" shrinkToFit="1"/>
    </xf>
    <xf numFmtId="3" fontId="23" fillId="0" borderId="11" xfId="0" applyNumberFormat="1" applyFont="1" applyFill="1" applyBorder="1" applyAlignment="1">
      <alignment horizontal="justify" vertical="center" shrinkToFit="1"/>
    </xf>
    <xf numFmtId="3" fontId="23" fillId="0" borderId="40" xfId="0" applyNumberFormat="1" applyFont="1" applyFill="1" applyBorder="1" applyAlignment="1">
      <alignment horizontal="right" vertical="center" shrinkToFit="1"/>
    </xf>
    <xf numFmtId="3" fontId="23" fillId="0" borderId="23" xfId="0" applyNumberFormat="1" applyFont="1" applyFill="1" applyBorder="1" applyAlignment="1">
      <alignment horizontal="right" shrinkToFit="1"/>
    </xf>
    <xf numFmtId="3" fontId="24" fillId="0" borderId="41" xfId="0" applyNumberFormat="1" applyFont="1" applyFill="1" applyBorder="1" applyAlignment="1">
      <alignment horizontal="right" shrinkToFit="1"/>
    </xf>
    <xf numFmtId="3" fontId="23" fillId="0" borderId="11" xfId="0" applyNumberFormat="1" applyFont="1" applyFill="1" applyBorder="1" applyAlignment="1">
      <alignment horizontal="right" shrinkToFit="1"/>
    </xf>
    <xf numFmtId="3" fontId="24" fillId="0" borderId="42" xfId="0" applyNumberFormat="1" applyFont="1" applyFill="1" applyBorder="1" applyAlignment="1">
      <alignment horizontal="right" shrinkToFit="1"/>
    </xf>
    <xf numFmtId="3" fontId="24" fillId="0" borderId="43" xfId="0" applyNumberFormat="1" applyFont="1" applyFill="1" applyBorder="1" applyAlignment="1">
      <alignment horizontal="right" shrinkToFit="1"/>
    </xf>
    <xf numFmtId="3" fontId="24" fillId="0" borderId="42" xfId="0" applyNumberFormat="1" applyFont="1" applyFill="1" applyBorder="1" applyAlignment="1">
      <alignment horizontal="right" vertical="center" shrinkToFit="1"/>
    </xf>
    <xf numFmtId="3" fontId="24" fillId="0" borderId="43" xfId="0" applyNumberFormat="1" applyFont="1" applyFill="1" applyBorder="1" applyAlignment="1">
      <alignment horizontal="right" vertical="center" shrinkToFit="1"/>
    </xf>
    <xf numFmtId="3" fontId="24" fillId="0" borderId="44" xfId="0" applyNumberFormat="1" applyFont="1" applyFill="1" applyBorder="1" applyAlignment="1">
      <alignment horizontal="right" vertical="center" shrinkToFit="1"/>
    </xf>
    <xf numFmtId="3" fontId="24" fillId="0" borderId="3" xfId="0" applyNumberFormat="1" applyFont="1" applyFill="1" applyBorder="1" applyAlignment="1">
      <alignment horizontal="right" vertical="center" shrinkToFit="1"/>
    </xf>
    <xf numFmtId="3" fontId="24" fillId="0" borderId="9" xfId="0" applyNumberFormat="1" applyFont="1" applyFill="1" applyBorder="1" applyAlignment="1">
      <alignment horizontal="right" vertical="center" shrinkToFit="1"/>
    </xf>
    <xf numFmtId="0" fontId="23" fillId="0" borderId="5" xfId="0" applyFont="1" applyFill="1" applyBorder="1" applyAlignment="1">
      <alignment horizontal="justify" shrinkToFit="1"/>
    </xf>
    <xf numFmtId="0" fontId="23" fillId="0" borderId="37" xfId="0" applyFont="1" applyFill="1" applyBorder="1" applyAlignment="1">
      <alignment horizontal="center" shrinkToFit="1"/>
    </xf>
    <xf numFmtId="0" fontId="23" fillId="0" borderId="9" xfId="0" applyFont="1" applyFill="1" applyBorder="1" applyAlignment="1">
      <alignment horizontal="justify" vertical="center" shrinkToFit="1"/>
    </xf>
    <xf numFmtId="0" fontId="23" fillId="2" borderId="9" xfId="0" applyFont="1" applyFill="1" applyBorder="1" applyAlignment="1">
      <alignment horizontal="justify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3" fontId="24" fillId="0" borderId="44" xfId="0" applyNumberFormat="1" applyFont="1" applyFill="1" applyBorder="1" applyAlignment="1">
      <alignment horizontal="right" shrinkToFit="1"/>
    </xf>
    <xf numFmtId="3" fontId="24" fillId="0" borderId="3" xfId="0" applyNumberFormat="1" applyFont="1" applyFill="1" applyBorder="1" applyAlignment="1">
      <alignment horizontal="right" shrinkToFit="1"/>
    </xf>
    <xf numFmtId="3" fontId="24" fillId="0" borderId="45" xfId="0" applyNumberFormat="1" applyFont="1" applyFill="1" applyBorder="1" applyAlignment="1">
      <alignment horizontal="right" shrinkToFit="1"/>
    </xf>
    <xf numFmtId="3" fontId="24" fillId="0" borderId="11" xfId="0" applyNumberFormat="1" applyFont="1" applyFill="1" applyBorder="1" applyAlignment="1">
      <alignment horizontal="right" shrinkToFit="1"/>
    </xf>
    <xf numFmtId="3" fontId="24" fillId="0" borderId="40" xfId="0" applyNumberFormat="1" applyFont="1" applyFill="1" applyBorder="1" applyAlignment="1">
      <alignment horizontal="right" shrinkToFit="1"/>
    </xf>
    <xf numFmtId="3" fontId="24" fillId="0" borderId="48" xfId="0" applyNumberFormat="1" applyFont="1" applyFill="1" applyBorder="1" applyAlignment="1">
      <alignment horizontal="right" shrinkToFit="1"/>
    </xf>
    <xf numFmtId="3" fontId="24" fillId="0" borderId="49" xfId="0" applyNumberFormat="1" applyFont="1" applyFill="1" applyBorder="1" applyAlignment="1">
      <alignment horizontal="right" shrinkToFit="1"/>
    </xf>
    <xf numFmtId="3" fontId="24" fillId="0" borderId="50" xfId="0" applyNumberFormat="1" applyFont="1" applyFill="1" applyBorder="1" applyAlignment="1">
      <alignment horizontal="right" vertical="center" shrinkToFit="1"/>
    </xf>
    <xf numFmtId="3" fontId="24" fillId="0" borderId="51" xfId="0" applyNumberFormat="1" applyFont="1" applyFill="1" applyBorder="1" applyAlignment="1">
      <alignment horizontal="right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horizontal="right" vertical="center" shrinkToFit="1"/>
    </xf>
    <xf numFmtId="3" fontId="24" fillId="0" borderId="41" xfId="0" applyNumberFormat="1" applyFont="1" applyFill="1" applyBorder="1" applyAlignment="1">
      <alignment horizontal="right" vertical="center" shrinkToFit="1"/>
    </xf>
    <xf numFmtId="0" fontId="23" fillId="0" borderId="62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horizontal="right" vertical="center" shrinkToFit="1"/>
    </xf>
    <xf numFmtId="3" fontId="24" fillId="0" borderId="40" xfId="0" applyNumberFormat="1" applyFont="1" applyFill="1" applyBorder="1" applyAlignment="1">
      <alignment horizontal="right" vertical="center" shrinkToFit="1"/>
    </xf>
    <xf numFmtId="0" fontId="23" fillId="0" borderId="52" xfId="0" quotePrefix="1" applyFont="1" applyFill="1" applyBorder="1" applyAlignment="1">
      <alignment horizontal="left" vertical="center" wrapText="1"/>
    </xf>
    <xf numFmtId="3" fontId="24" fillId="0" borderId="64" xfId="0" applyNumberFormat="1" applyFont="1" applyFill="1" applyBorder="1" applyAlignment="1">
      <alignment horizontal="right" vertical="center"/>
    </xf>
    <xf numFmtId="3" fontId="24" fillId="0" borderId="44" xfId="0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53" xfId="0" applyFont="1" applyFill="1" applyBorder="1" applyAlignment="1">
      <alignment vertical="center" shrinkToFit="1"/>
    </xf>
    <xf numFmtId="0" fontId="23" fillId="0" borderId="54" xfId="0" applyFont="1" applyFill="1" applyBorder="1" applyAlignment="1">
      <alignment vertical="center" shrinkToFit="1"/>
    </xf>
    <xf numFmtId="0" fontId="23" fillId="0" borderId="37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22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horizontal="right" vertical="center" shrinkToFit="1"/>
    </xf>
    <xf numFmtId="0" fontId="23" fillId="0" borderId="32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65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center" vertical="center" shrinkToFit="1"/>
    </xf>
    <xf numFmtId="0" fontId="23" fillId="3" borderId="25" xfId="0" applyFont="1" applyFill="1" applyBorder="1" applyAlignment="1">
      <alignment vertical="center" shrinkToFit="1"/>
    </xf>
    <xf numFmtId="3" fontId="23" fillId="3" borderId="61" xfId="0" applyNumberFormat="1" applyFont="1" applyFill="1" applyBorder="1" applyAlignment="1">
      <alignment horizontal="right" vertical="center" shrinkToFit="1"/>
    </xf>
    <xf numFmtId="3" fontId="24" fillId="3" borderId="41" xfId="0" applyNumberFormat="1" applyFont="1" applyFill="1" applyBorder="1" applyAlignment="1">
      <alignment horizontal="right" vertical="center" shrinkToFit="1"/>
    </xf>
    <xf numFmtId="0" fontId="23" fillId="3" borderId="62" xfId="0" applyFont="1" applyFill="1" applyBorder="1" applyAlignment="1">
      <alignment horizontal="center" vertical="center" shrinkToFit="1"/>
    </xf>
    <xf numFmtId="3" fontId="23" fillId="3" borderId="63" xfId="0" applyNumberFormat="1" applyFont="1" applyFill="1" applyBorder="1" applyAlignment="1">
      <alignment horizontal="right" vertical="center" shrinkToFit="1"/>
    </xf>
    <xf numFmtId="3" fontId="24" fillId="3" borderId="40" xfId="0" applyNumberFormat="1" applyFont="1" applyFill="1" applyBorder="1" applyAlignment="1">
      <alignment horizontal="right" vertical="center" shrinkToFit="1"/>
    </xf>
    <xf numFmtId="0" fontId="23" fillId="3" borderId="52" xfId="0" applyFont="1" applyFill="1" applyBorder="1" applyAlignment="1">
      <alignment vertical="center" shrinkToFit="1"/>
    </xf>
    <xf numFmtId="0" fontId="23" fillId="3" borderId="67" xfId="0" applyFont="1" applyFill="1" applyBorder="1" applyAlignment="1">
      <alignment horizontal="center" vertical="center" shrinkToFit="1"/>
    </xf>
    <xf numFmtId="0" fontId="23" fillId="3" borderId="56" xfId="0" applyFont="1" applyFill="1" applyBorder="1" applyAlignment="1">
      <alignment vertical="center" wrapText="1"/>
    </xf>
    <xf numFmtId="0" fontId="23" fillId="3" borderId="57" xfId="0" applyFont="1" applyFill="1" applyBorder="1" applyAlignment="1">
      <alignment vertical="center" shrinkToFit="1"/>
    </xf>
    <xf numFmtId="3" fontId="23" fillId="3" borderId="68" xfId="0" applyNumberFormat="1" applyFont="1" applyFill="1" applyBorder="1" applyAlignment="1">
      <alignment horizontal="right" vertical="center" shrinkToFit="1"/>
    </xf>
    <xf numFmtId="0" fontId="23" fillId="3" borderId="69" xfId="0" applyFont="1" applyFill="1" applyBorder="1" applyAlignment="1">
      <alignment horizontal="center" vertical="center" shrinkToFit="1"/>
    </xf>
    <xf numFmtId="0" fontId="23" fillId="3" borderId="58" xfId="0" applyFont="1" applyFill="1" applyBorder="1" applyAlignment="1">
      <alignment vertical="center" shrinkToFit="1"/>
    </xf>
    <xf numFmtId="3" fontId="24" fillId="3" borderId="47" xfId="0" applyNumberFormat="1" applyFont="1" applyFill="1" applyBorder="1" applyAlignment="1">
      <alignment horizontal="right" vertical="center" shrinkToFit="1"/>
    </xf>
    <xf numFmtId="3" fontId="24" fillId="3" borderId="70" xfId="0" applyNumberFormat="1" applyFont="1" applyFill="1" applyBorder="1" applyAlignment="1">
      <alignment horizontal="right" vertical="center" shrinkToFit="1"/>
    </xf>
    <xf numFmtId="3" fontId="24" fillId="3" borderId="71" xfId="0" applyNumberFormat="1" applyFont="1" applyFill="1" applyBorder="1" applyAlignment="1">
      <alignment horizontal="right" vertical="center" shrinkToFit="1"/>
    </xf>
    <xf numFmtId="3" fontId="48" fillId="0" borderId="0" xfId="2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3" fontId="23" fillId="0" borderId="23" xfId="0" applyNumberFormat="1" applyFont="1" applyFill="1" applyBorder="1" applyAlignment="1">
      <alignment horizontal="right" vertical="center" shrinkToFit="1"/>
    </xf>
    <xf numFmtId="0" fontId="0" fillId="0" borderId="0" xfId="0"/>
    <xf numFmtId="3" fontId="33" fillId="3" borderId="0" xfId="0" applyNumberFormat="1" applyFont="1" applyFill="1" applyBorder="1" applyAlignment="1">
      <alignment vertical="center"/>
    </xf>
    <xf numFmtId="2" fontId="24" fillId="0" borderId="2" xfId="0" applyNumberFormat="1" applyFont="1" applyFill="1" applyBorder="1" applyAlignment="1">
      <alignment horizontal="left" vertical="center" wrapText="1" shrinkToFit="1"/>
    </xf>
    <xf numFmtId="2" fontId="24" fillId="0" borderId="11" xfId="0" applyNumberFormat="1" applyFont="1" applyFill="1" applyBorder="1" applyAlignment="1">
      <alignment horizontal="center" shrinkToFit="1"/>
    </xf>
    <xf numFmtId="0" fontId="0" fillId="0" borderId="0" xfId="0"/>
    <xf numFmtId="3" fontId="32" fillId="0" borderId="0" xfId="0" applyNumberFormat="1" applyFont="1"/>
    <xf numFmtId="0" fontId="32" fillId="0" borderId="0" xfId="0" applyFont="1" applyAlignment="1">
      <alignment wrapText="1"/>
    </xf>
    <xf numFmtId="3" fontId="12" fillId="0" borderId="15" xfId="2" applyNumberFormat="1" applyFont="1" applyFill="1" applyBorder="1" applyAlignment="1">
      <alignment vertical="center"/>
    </xf>
    <xf numFmtId="3" fontId="49" fillId="3" borderId="0" xfId="0" applyNumberFormat="1" applyFont="1" applyFill="1" applyBorder="1" applyAlignment="1">
      <alignment vertical="center"/>
    </xf>
    <xf numFmtId="3" fontId="23" fillId="3" borderId="121" xfId="0" applyNumberFormat="1" applyFont="1" applyFill="1" applyBorder="1" applyAlignment="1">
      <alignment horizontal="right" vertical="center" shrinkToFit="1"/>
    </xf>
    <xf numFmtId="3" fontId="23" fillId="0" borderId="125" xfId="0" applyNumberFormat="1" applyFont="1" applyFill="1" applyBorder="1" applyAlignment="1">
      <alignment horizontal="right" vertical="center" shrinkToFit="1"/>
    </xf>
    <xf numFmtId="3" fontId="0" fillId="3" borderId="0" xfId="0" applyNumberFormat="1" applyFill="1"/>
    <xf numFmtId="2" fontId="24" fillId="0" borderId="10" xfId="0" applyNumberFormat="1" applyFont="1" applyFill="1" applyBorder="1" applyAlignment="1">
      <alignment vertical="center" wrapText="1"/>
    </xf>
    <xf numFmtId="2" fontId="23" fillId="0" borderId="103" xfId="0" applyNumberFormat="1" applyFont="1" applyFill="1" applyBorder="1" applyAlignment="1">
      <alignment vertical="center" wrapText="1"/>
    </xf>
    <xf numFmtId="2" fontId="24" fillId="0" borderId="126" xfId="0" applyNumberFormat="1" applyFont="1" applyFill="1" applyBorder="1" applyAlignment="1">
      <alignment horizontal="left" vertical="center" wrapText="1" shrinkToFit="1"/>
    </xf>
    <xf numFmtId="3" fontId="24" fillId="3" borderId="2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shrinkToFit="1"/>
    </xf>
    <xf numFmtId="3" fontId="15" fillId="0" borderId="0" xfId="0" applyNumberFormat="1" applyFont="1" applyFill="1" applyBorder="1" applyAlignment="1">
      <alignment vertical="center" shrinkToFit="1"/>
    </xf>
    <xf numFmtId="165" fontId="15" fillId="0" borderId="0" xfId="0" applyNumberFormat="1" applyFont="1" applyFill="1" applyBorder="1" applyAlignment="1">
      <alignment vertical="center" shrinkToFit="1"/>
    </xf>
    <xf numFmtId="3" fontId="18" fillId="0" borderId="0" xfId="0" applyNumberFormat="1" applyFont="1"/>
    <xf numFmtId="3" fontId="51" fillId="3" borderId="0" xfId="0" applyNumberFormat="1" applyFont="1" applyFill="1" applyAlignment="1">
      <alignment vertical="center"/>
    </xf>
    <xf numFmtId="165" fontId="31" fillId="0" borderId="0" xfId="0" applyNumberFormat="1" applyFont="1" applyFill="1" applyBorder="1" applyAlignment="1">
      <alignment vertical="center" shrinkToFit="1"/>
    </xf>
    <xf numFmtId="165" fontId="16" fillId="0" borderId="0" xfId="0" applyNumberFormat="1" applyFont="1" applyFill="1" applyBorder="1" applyAlignment="1">
      <alignment horizontal="justify" vertical="center" shrinkToFit="1"/>
    </xf>
    <xf numFmtId="3" fontId="52" fillId="6" borderId="116" xfId="2" applyNumberFormat="1" applyFont="1" applyFill="1" applyBorder="1" applyAlignment="1">
      <alignment horizontal="center" vertical="center"/>
    </xf>
    <xf numFmtId="3" fontId="52" fillId="6" borderId="110" xfId="2" applyNumberFormat="1" applyFont="1" applyFill="1" applyBorder="1" applyAlignment="1">
      <alignment horizontal="center" vertical="center"/>
    </xf>
    <xf numFmtId="3" fontId="51" fillId="5" borderId="1" xfId="2" applyNumberFormat="1" applyFont="1" applyFill="1" applyBorder="1" applyAlignment="1">
      <alignment horizontal="center" vertical="center"/>
    </xf>
    <xf numFmtId="3" fontId="53" fillId="9" borderId="95" xfId="2" applyNumberFormat="1" applyFont="1" applyFill="1" applyBorder="1" applyAlignment="1">
      <alignment horizontal="center" vertical="center"/>
    </xf>
    <xf numFmtId="3" fontId="53" fillId="9" borderId="7" xfId="2" applyNumberFormat="1" applyFont="1" applyFill="1" applyBorder="1" applyAlignment="1">
      <alignment horizontal="center" vertical="center"/>
    </xf>
    <xf numFmtId="3" fontId="53" fillId="9" borderId="94" xfId="2" applyNumberFormat="1" applyFont="1" applyFill="1" applyBorder="1" applyAlignment="1">
      <alignment horizontal="center" vertical="center"/>
    </xf>
    <xf numFmtId="3" fontId="53" fillId="0" borderId="15" xfId="2" applyNumberFormat="1" applyFont="1" applyFill="1" applyBorder="1" applyAlignment="1">
      <alignment horizontal="center" vertical="center"/>
    </xf>
    <xf numFmtId="3" fontId="53" fillId="0" borderId="13" xfId="2" applyNumberFormat="1" applyFont="1" applyFill="1" applyBorder="1" applyAlignment="1">
      <alignment horizontal="center" vertical="center"/>
    </xf>
    <xf numFmtId="3" fontId="53" fillId="3" borderId="33" xfId="2" applyNumberFormat="1" applyFont="1" applyFill="1" applyBorder="1" applyAlignment="1">
      <alignment horizontal="center" vertical="center"/>
    </xf>
    <xf numFmtId="3" fontId="53" fillId="3" borderId="105" xfId="2" applyNumberFormat="1" applyFont="1" applyFill="1" applyBorder="1" applyAlignment="1">
      <alignment horizontal="center" vertical="center"/>
    </xf>
    <xf numFmtId="3" fontId="54" fillId="0" borderId="0" xfId="2" applyNumberFormat="1" applyFont="1" applyFill="1" applyAlignment="1">
      <alignment horizontal="center" vertical="center"/>
    </xf>
    <xf numFmtId="1" fontId="11" fillId="6" borderId="9" xfId="2" applyNumberFormat="1" applyFont="1" applyFill="1" applyBorder="1" applyAlignment="1">
      <alignment horizontal="right" vertical="center"/>
    </xf>
    <xf numFmtId="1" fontId="11" fillId="6" borderId="77" xfId="2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top" wrapText="1"/>
    </xf>
    <xf numFmtId="3" fontId="55" fillId="0" borderId="0" xfId="0" applyNumberFormat="1" applyFont="1" applyAlignment="1">
      <alignment horizontal="right" vertical="top" wrapText="1"/>
    </xf>
    <xf numFmtId="0" fontId="56" fillId="0" borderId="0" xfId="0" applyFont="1" applyAlignment="1">
      <alignment horizontal="left" vertical="top" wrapText="1"/>
    </xf>
    <xf numFmtId="3" fontId="56" fillId="0" borderId="0" xfId="0" applyNumberFormat="1" applyFont="1" applyAlignment="1">
      <alignment horizontal="right" vertical="top" wrapText="1"/>
    </xf>
    <xf numFmtId="0" fontId="12" fillId="0" borderId="0" xfId="0" applyFont="1" applyFill="1" applyBorder="1" applyAlignment="1">
      <alignment vertical="center" shrinkToFit="1"/>
    </xf>
    <xf numFmtId="3" fontId="57" fillId="3" borderId="33" xfId="2" applyNumberFormat="1" applyFont="1" applyFill="1" applyBorder="1" applyAlignment="1">
      <alignment horizontal="center" vertical="center"/>
    </xf>
    <xf numFmtId="1" fontId="57" fillId="3" borderId="13" xfId="2" applyNumberFormat="1" applyFont="1" applyFill="1" applyBorder="1" applyAlignment="1">
      <alignment vertical="center"/>
    </xf>
    <xf numFmtId="1" fontId="57" fillId="3" borderId="15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right" vertical="center"/>
    </xf>
    <xf numFmtId="3" fontId="19" fillId="3" borderId="16" xfId="2" applyNumberFormat="1" applyFont="1" applyFill="1" applyBorder="1" applyAlignment="1">
      <alignment horizontal="right" vertical="center"/>
    </xf>
    <xf numFmtId="3" fontId="19" fillId="3" borderId="16" xfId="2" applyNumberFormat="1" applyFont="1" applyFill="1" applyBorder="1" applyAlignment="1">
      <alignment vertical="center"/>
    </xf>
    <xf numFmtId="4" fontId="19" fillId="3" borderId="86" xfId="2" applyNumberFormat="1" applyFont="1" applyFill="1" applyBorder="1" applyAlignment="1">
      <alignment horizontal="right" vertical="center"/>
    </xf>
    <xf numFmtId="3" fontId="57" fillId="3" borderId="92" xfId="2" applyNumberFormat="1" applyFont="1" applyFill="1" applyBorder="1" applyAlignment="1">
      <alignment horizontal="center" vertical="center"/>
    </xf>
    <xf numFmtId="3" fontId="57" fillId="3" borderId="15" xfId="2" applyNumberFormat="1" applyFont="1" applyFill="1" applyBorder="1" applyAlignment="1">
      <alignment horizontal="center" vertical="center"/>
    </xf>
    <xf numFmtId="3" fontId="57" fillId="0" borderId="15" xfId="2" applyNumberFormat="1" applyFont="1" applyFill="1" applyBorder="1" applyAlignment="1">
      <alignment horizontal="center" vertical="center"/>
    </xf>
    <xf numFmtId="1" fontId="57" fillId="0" borderId="15" xfId="2" applyNumberFormat="1" applyFont="1" applyFill="1" applyBorder="1" applyAlignment="1">
      <alignment vertical="center"/>
    </xf>
    <xf numFmtId="3" fontId="57" fillId="3" borderId="89" xfId="2" applyNumberFormat="1" applyFont="1" applyFill="1" applyBorder="1" applyAlignment="1">
      <alignment horizontal="center" vertical="center"/>
    </xf>
    <xf numFmtId="3" fontId="57" fillId="3" borderId="14" xfId="2" applyNumberFormat="1" applyFont="1" applyFill="1" applyBorder="1" applyAlignment="1">
      <alignment horizontal="center" vertical="center"/>
    </xf>
    <xf numFmtId="3" fontId="57" fillId="3" borderId="0" xfId="2" applyNumberFormat="1" applyFont="1" applyFill="1" applyBorder="1" applyAlignment="1">
      <alignment horizontal="center" vertical="center"/>
    </xf>
    <xf numFmtId="1" fontId="57" fillId="3" borderId="15" xfId="2" applyNumberFormat="1" applyFont="1" applyFill="1" applyBorder="1" applyAlignment="1">
      <alignment vertical="center"/>
    </xf>
    <xf numFmtId="3" fontId="57" fillId="3" borderId="55" xfId="2" applyNumberFormat="1" applyFont="1" applyFill="1" applyBorder="1" applyAlignment="1">
      <alignment horizontal="center" vertical="center"/>
    </xf>
    <xf numFmtId="3" fontId="9" fillId="3" borderId="16" xfId="2" applyNumberFormat="1" applyFont="1" applyFill="1" applyBorder="1" applyAlignment="1">
      <alignment horizontal="center" vertical="center"/>
    </xf>
    <xf numFmtId="1" fontId="9" fillId="3" borderId="16" xfId="2" applyNumberFormat="1" applyFont="1" applyFill="1" applyBorder="1" applyAlignment="1">
      <alignment horizontal="right" vertical="center"/>
    </xf>
    <xf numFmtId="3" fontId="57" fillId="9" borderId="96" xfId="2" applyNumberFormat="1" applyFont="1" applyFill="1" applyBorder="1" applyAlignment="1">
      <alignment horizontal="center" vertical="center"/>
    </xf>
    <xf numFmtId="3" fontId="57" fillId="9" borderId="12" xfId="2" applyNumberFormat="1" applyFont="1" applyFill="1" applyBorder="1" applyAlignment="1">
      <alignment horizontal="center" vertical="center"/>
    </xf>
    <xf numFmtId="3" fontId="57" fillId="9" borderId="81" xfId="2" applyNumberFormat="1" applyFont="1" applyFill="1" applyBorder="1" applyAlignment="1">
      <alignment horizontal="center" vertical="center"/>
    </xf>
    <xf numFmtId="3" fontId="57" fillId="9" borderId="13" xfId="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164" fontId="14" fillId="0" borderId="0" xfId="0" applyNumberFormat="1" applyFont="1" applyFill="1" applyBorder="1" applyAlignment="1">
      <alignment vertical="center" shrinkToFit="1"/>
    </xf>
    <xf numFmtId="3" fontId="57" fillId="3" borderId="94" xfId="2" applyNumberFormat="1" applyFont="1" applyFill="1" applyBorder="1" applyAlignment="1">
      <alignment horizontal="center" vertical="center"/>
    </xf>
    <xf numFmtId="0" fontId="23" fillId="0" borderId="15" xfId="0" applyFont="1" applyBorder="1"/>
    <xf numFmtId="3" fontId="57" fillId="9" borderId="15" xfId="2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vertical="center" shrinkToFit="1"/>
    </xf>
    <xf numFmtId="1" fontId="10" fillId="6" borderId="5" xfId="2" applyNumberFormat="1" applyFont="1" applyFill="1" applyBorder="1" applyAlignment="1">
      <alignment horizontal="right" vertical="center"/>
    </xf>
    <xf numFmtId="3" fontId="52" fillId="0" borderId="98" xfId="2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right" vertical="center"/>
    </xf>
    <xf numFmtId="3" fontId="24" fillId="3" borderId="0" xfId="0" applyNumberFormat="1" applyFont="1" applyFill="1" applyBorder="1" applyAlignment="1">
      <alignment horizontal="right" vertical="center"/>
    </xf>
    <xf numFmtId="1" fontId="57" fillId="0" borderId="90" xfId="2" applyNumberFormat="1" applyFont="1" applyFill="1" applyBorder="1" applyAlignment="1">
      <alignment vertical="center"/>
    </xf>
    <xf numFmtId="3" fontId="18" fillId="3" borderId="77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vertical="center"/>
    </xf>
    <xf numFmtId="1" fontId="57" fillId="3" borderId="90" xfId="2" applyNumberFormat="1" applyFont="1" applyFill="1" applyBorder="1" applyAlignment="1">
      <alignment vertical="center"/>
    </xf>
    <xf numFmtId="1" fontId="57" fillId="9" borderId="84" xfId="2" applyNumberFormat="1" applyFont="1" applyFill="1" applyBorder="1" applyAlignment="1">
      <alignment vertical="center"/>
    </xf>
    <xf numFmtId="3" fontId="57" fillId="3" borderId="90" xfId="2" applyNumberFormat="1" applyFont="1" applyFill="1" applyBorder="1" applyAlignment="1">
      <alignment horizontal="center" vertical="center"/>
    </xf>
    <xf numFmtId="1" fontId="58" fillId="3" borderId="75" xfId="2" applyNumberFormat="1" applyFont="1" applyFill="1" applyBorder="1" applyAlignment="1">
      <alignment horizontal="right" vertical="center"/>
    </xf>
    <xf numFmtId="3" fontId="57" fillId="3" borderId="30" xfId="2" applyNumberFormat="1" applyFont="1" applyFill="1" applyBorder="1" applyAlignment="1">
      <alignment horizontal="center" vertical="center"/>
    </xf>
    <xf numFmtId="3" fontId="12" fillId="3" borderId="0" xfId="2" applyNumberFormat="1" applyFont="1" applyFill="1" applyAlignment="1">
      <alignment vertical="center"/>
    </xf>
    <xf numFmtId="3" fontId="59" fillId="0" borderId="1" xfId="2" applyNumberFormat="1" applyFont="1" applyFill="1" applyBorder="1" applyAlignment="1">
      <alignment horizontal="right" vertical="center"/>
    </xf>
    <xf numFmtId="3" fontId="59" fillId="0" borderId="0" xfId="2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 shrinkToFit="1"/>
    </xf>
    <xf numFmtId="3" fontId="23" fillId="3" borderId="15" xfId="0" applyNumberFormat="1" applyFont="1" applyFill="1" applyBorder="1" applyAlignment="1">
      <alignment horizontal="right" vertical="center"/>
    </xf>
    <xf numFmtId="3" fontId="58" fillId="9" borderId="81" xfId="2" applyNumberFormat="1" applyFont="1" applyFill="1" applyBorder="1" applyAlignment="1">
      <alignment horizontal="center" vertical="center"/>
    </xf>
    <xf numFmtId="3" fontId="58" fillId="9" borderId="13" xfId="2" applyNumberFormat="1" applyFont="1" applyFill="1" applyBorder="1" applyAlignment="1">
      <alignment horizontal="center" vertical="center"/>
    </xf>
    <xf numFmtId="4" fontId="19" fillId="6" borderId="21" xfId="2" applyNumberFormat="1" applyFont="1" applyFill="1" applyBorder="1" applyAlignment="1">
      <alignment horizontal="right" vertical="center"/>
    </xf>
    <xf numFmtId="4" fontId="19" fillId="6" borderId="78" xfId="2" applyNumberFormat="1" applyFont="1" applyFill="1" applyBorder="1" applyAlignment="1">
      <alignment horizontal="right" vertical="center"/>
    </xf>
    <xf numFmtId="3" fontId="27" fillId="3" borderId="15" xfId="2" applyNumberFormat="1" applyFont="1" applyFill="1" applyBorder="1" applyAlignment="1">
      <alignment horizontal="left" vertical="center" indent="2"/>
    </xf>
    <xf numFmtId="4" fontId="19" fillId="3" borderId="85" xfId="2" applyNumberFormat="1" applyFont="1" applyFill="1" applyBorder="1" applyAlignment="1">
      <alignment horizontal="right" vertical="center"/>
    </xf>
    <xf numFmtId="3" fontId="60" fillId="3" borderId="15" xfId="2" applyNumberFormat="1" applyFont="1" applyFill="1" applyBorder="1" applyAlignment="1">
      <alignment horizontal="left" vertical="center" indent="2"/>
    </xf>
    <xf numFmtId="3" fontId="58" fillId="6" borderId="77" xfId="2" applyNumberFormat="1" applyFont="1" applyFill="1" applyBorder="1" applyAlignment="1">
      <alignment horizontal="center" vertical="center"/>
    </xf>
    <xf numFmtId="3" fontId="19" fillId="6" borderId="5" xfId="2" applyNumberFormat="1" applyFont="1" applyFill="1" applyBorder="1" applyAlignment="1">
      <alignment horizontal="left" vertical="center" indent="1"/>
    </xf>
    <xf numFmtId="3" fontId="19" fillId="6" borderId="5" xfId="2" applyNumberFormat="1" applyFont="1" applyFill="1" applyBorder="1" applyAlignment="1">
      <alignment horizontal="right" vertical="center"/>
    </xf>
    <xf numFmtId="3" fontId="19" fillId="6" borderId="5" xfId="2" applyNumberFormat="1" applyFont="1" applyFill="1" applyBorder="1" applyAlignment="1">
      <alignment vertical="center"/>
    </xf>
    <xf numFmtId="3" fontId="58" fillId="6" borderId="6" xfId="2" applyNumberFormat="1" applyFont="1" applyFill="1" applyBorder="1" applyAlignment="1">
      <alignment horizontal="center" vertical="center"/>
    </xf>
    <xf numFmtId="3" fontId="61" fillId="6" borderId="9" xfId="2" applyNumberFormat="1" applyFont="1" applyFill="1" applyBorder="1" applyAlignment="1">
      <alignment horizontal="left" vertical="center" indent="2"/>
    </xf>
    <xf numFmtId="3" fontId="19" fillId="6" borderId="9" xfId="2" applyNumberFormat="1" applyFont="1" applyFill="1" applyBorder="1" applyAlignment="1">
      <alignment horizontal="right" vertical="center"/>
    </xf>
    <xf numFmtId="3" fontId="19" fillId="6" borderId="9" xfId="2" applyNumberFormat="1" applyFont="1" applyFill="1" applyBorder="1" applyAlignment="1">
      <alignment vertical="center"/>
    </xf>
    <xf numFmtId="3" fontId="19" fillId="6" borderId="77" xfId="2" applyNumberFormat="1" applyFont="1" applyFill="1" applyBorder="1" applyAlignment="1">
      <alignment horizontal="right" vertical="center"/>
    </xf>
    <xf numFmtId="3" fontId="19" fillId="6" borderId="77" xfId="2" applyNumberFormat="1" applyFont="1" applyFill="1" applyBorder="1" applyAlignment="1">
      <alignment vertical="center"/>
    </xf>
    <xf numFmtId="4" fontId="19" fillId="6" borderId="20" xfId="2" applyNumberFormat="1" applyFont="1" applyFill="1" applyBorder="1" applyAlignment="1">
      <alignment horizontal="right" vertical="center"/>
    </xf>
    <xf numFmtId="3" fontId="58" fillId="6" borderId="99" xfId="2" applyNumberFormat="1" applyFont="1" applyFill="1" applyBorder="1" applyAlignment="1">
      <alignment horizontal="center" vertical="center"/>
    </xf>
    <xf numFmtId="3" fontId="61" fillId="6" borderId="77" xfId="2" applyNumberFormat="1" applyFont="1" applyFill="1" applyBorder="1" applyAlignment="1">
      <alignment horizontal="left" vertical="center" indent="2"/>
    </xf>
    <xf numFmtId="3" fontId="18" fillId="3" borderId="15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vertical="center"/>
    </xf>
    <xf numFmtId="3" fontId="19" fillId="3" borderId="15" xfId="2" applyNumberFormat="1" applyFont="1" applyFill="1" applyBorder="1" applyAlignment="1">
      <alignment horizontal="right" vertical="center"/>
    </xf>
    <xf numFmtId="3" fontId="19" fillId="3" borderId="15" xfId="2" applyNumberFormat="1" applyFont="1" applyFill="1" applyBorder="1" applyAlignment="1">
      <alignment vertical="center"/>
    </xf>
    <xf numFmtId="3" fontId="57" fillId="3" borderId="105" xfId="2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 shrinkToFit="1"/>
    </xf>
    <xf numFmtId="165" fontId="15" fillId="0" borderId="0" xfId="0" applyNumberFormat="1" applyFont="1" applyFill="1" applyAlignment="1">
      <alignment vertical="center" shrinkToFit="1"/>
    </xf>
    <xf numFmtId="3" fontId="16" fillId="0" borderId="0" xfId="0" applyNumberFormat="1" applyFont="1" applyFill="1" applyBorder="1" applyAlignment="1">
      <alignment horizontal="justify" vertical="center" shrinkToFit="1"/>
    </xf>
    <xf numFmtId="3" fontId="12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horizontal="left" vertical="center"/>
    </xf>
    <xf numFmtId="3" fontId="12" fillId="3" borderId="18" xfId="0" applyNumberFormat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vertical="center"/>
    </xf>
    <xf numFmtId="3" fontId="23" fillId="3" borderId="18" xfId="0" applyNumberFormat="1" applyFont="1" applyFill="1" applyBorder="1" applyAlignment="1">
      <alignment horizontal="left" vertical="center"/>
    </xf>
    <xf numFmtId="3" fontId="23" fillId="3" borderId="18" xfId="0" applyNumberFormat="1" applyFont="1" applyFill="1" applyBorder="1" applyAlignment="1">
      <alignment horizontal="right" vertical="center"/>
    </xf>
    <xf numFmtId="3" fontId="14" fillId="3" borderId="22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vertical="center"/>
    </xf>
    <xf numFmtId="3" fontId="34" fillId="3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Alignment="1">
      <alignment horizontal="left" vertical="center"/>
    </xf>
    <xf numFmtId="3" fontId="23" fillId="3" borderId="15" xfId="0" applyNumberFormat="1" applyFont="1" applyFill="1" applyBorder="1" applyAlignment="1">
      <alignment horizontal="left" vertical="top" readingOrder="1"/>
    </xf>
    <xf numFmtId="3" fontId="1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1" fontId="12" fillId="3" borderId="0" xfId="2" applyNumberFormat="1" applyFont="1" applyFill="1" applyAlignment="1">
      <alignment horizontal="right" vertical="center"/>
    </xf>
    <xf numFmtId="3" fontId="62" fillId="3" borderId="0" xfId="2" applyNumberFormat="1" applyFont="1" applyFill="1" applyAlignment="1">
      <alignment vertical="center"/>
    </xf>
    <xf numFmtId="3" fontId="63" fillId="3" borderId="0" xfId="2" applyNumberFormat="1" applyFont="1" applyFill="1" applyBorder="1" applyAlignment="1">
      <alignment vertical="center"/>
    </xf>
    <xf numFmtId="3" fontId="62" fillId="3" borderId="0" xfId="2" applyNumberFormat="1" applyFont="1" applyFill="1" applyBorder="1" applyAlignment="1">
      <alignment vertical="center"/>
    </xf>
    <xf numFmtId="4" fontId="63" fillId="3" borderId="0" xfId="2" applyNumberFormat="1" applyFont="1" applyFill="1" applyBorder="1" applyAlignment="1">
      <alignment horizontal="right" vertical="center"/>
    </xf>
    <xf numFmtId="3" fontId="63" fillId="3" borderId="18" xfId="2" applyNumberFormat="1" applyFont="1" applyFill="1" applyBorder="1" applyAlignment="1">
      <alignment horizontal="right" vertical="center"/>
    </xf>
    <xf numFmtId="4" fontId="63" fillId="3" borderId="18" xfId="2" applyNumberFormat="1" applyFont="1" applyFill="1" applyBorder="1" applyAlignment="1">
      <alignment horizontal="right" vertical="center"/>
    </xf>
    <xf numFmtId="3" fontId="63" fillId="3" borderId="10" xfId="2" applyNumberFormat="1" applyFont="1" applyFill="1" applyBorder="1" applyAlignment="1">
      <alignment horizontal="center" vertical="center"/>
    </xf>
    <xf numFmtId="3" fontId="63" fillId="3" borderId="10" xfId="2" applyNumberFormat="1" applyFont="1" applyFill="1" applyBorder="1" applyAlignment="1">
      <alignment horizontal="center" vertical="center" wrapText="1"/>
    </xf>
    <xf numFmtId="4" fontId="63" fillId="3" borderId="19" xfId="2" applyNumberFormat="1" applyFont="1" applyFill="1" applyBorder="1" applyAlignment="1">
      <alignment horizontal="center" vertical="center"/>
    </xf>
    <xf numFmtId="3" fontId="63" fillId="3" borderId="9" xfId="2" applyNumberFormat="1" applyFont="1" applyFill="1" applyBorder="1" applyAlignment="1">
      <alignment horizontal="center" vertical="center"/>
    </xf>
    <xf numFmtId="4" fontId="63" fillId="3" borderId="20" xfId="2" applyNumberFormat="1" applyFont="1" applyFill="1" applyBorder="1" applyAlignment="1">
      <alignment horizontal="center" vertical="center"/>
    </xf>
    <xf numFmtId="3" fontId="63" fillId="3" borderId="5" xfId="2" applyNumberFormat="1" applyFont="1" applyFill="1" applyBorder="1" applyAlignment="1">
      <alignment horizontal="center" vertical="center"/>
    </xf>
    <xf numFmtId="4" fontId="63" fillId="3" borderId="21" xfId="2" applyNumberFormat="1" applyFont="1" applyFill="1" applyBorder="1" applyAlignment="1">
      <alignment horizontal="right" vertical="center"/>
    </xf>
    <xf numFmtId="3" fontId="27" fillId="5" borderId="0" xfId="2" applyNumberFormat="1" applyFont="1" applyFill="1" applyBorder="1" applyAlignment="1">
      <alignment horizontal="center" vertical="center"/>
    </xf>
    <xf numFmtId="3" fontId="27" fillId="5" borderId="6" xfId="2" applyNumberFormat="1" applyFont="1" applyFill="1" applyBorder="1" applyAlignment="1">
      <alignment horizontal="center" vertical="center"/>
    </xf>
    <xf numFmtId="3" fontId="60" fillId="5" borderId="9" xfId="2" applyNumberFormat="1" applyFont="1" applyFill="1" applyBorder="1" applyAlignment="1">
      <alignment horizontal="right" vertical="center"/>
    </xf>
    <xf numFmtId="3" fontId="61" fillId="5" borderId="9" xfId="2" applyNumberFormat="1" applyFont="1" applyFill="1" applyBorder="1" applyAlignment="1">
      <alignment horizontal="right" vertical="center"/>
    </xf>
    <xf numFmtId="4" fontId="60" fillId="5" borderId="20" xfId="2" applyNumberFormat="1" applyFont="1" applyFill="1" applyBorder="1" applyAlignment="1">
      <alignment horizontal="right" vertical="center"/>
    </xf>
    <xf numFmtId="3" fontId="62" fillId="0" borderId="0" xfId="2" applyNumberFormat="1" applyFont="1" applyFill="1" applyAlignment="1">
      <alignment vertical="center"/>
    </xf>
    <xf numFmtId="3" fontId="18" fillId="3" borderId="15" xfId="2" applyNumberFormat="1" applyFont="1" applyFill="1" applyBorder="1" applyAlignment="1">
      <alignment horizontal="left" wrapText="1"/>
    </xf>
    <xf numFmtId="2" fontId="19" fillId="3" borderId="78" xfId="2" applyNumberFormat="1" applyFont="1" applyFill="1" applyBorder="1" applyAlignment="1">
      <alignment horizontal="right" vertical="center"/>
    </xf>
    <xf numFmtId="3" fontId="19" fillId="3" borderId="127" xfId="2" applyNumberFormat="1" applyFont="1" applyFill="1" applyBorder="1" applyAlignment="1">
      <alignment horizontal="left"/>
    </xf>
    <xf numFmtId="3" fontId="19" fillId="5" borderId="77" xfId="2" applyNumberFormat="1" applyFont="1" applyFill="1" applyBorder="1" applyAlignment="1">
      <alignment horizontal="right" vertical="center"/>
    </xf>
    <xf numFmtId="2" fontId="19" fillId="5" borderId="77" xfId="2" applyNumberFormat="1" applyFont="1" applyFill="1" applyBorder="1" applyAlignment="1">
      <alignment horizontal="right" vertical="center"/>
    </xf>
    <xf numFmtId="3" fontId="61" fillId="5" borderId="12" xfId="2" applyNumberFormat="1" applyFont="1" applyFill="1" applyBorder="1" applyAlignment="1">
      <alignment horizontal="right" vertical="center"/>
    </xf>
    <xf numFmtId="2" fontId="61" fillId="5" borderId="12" xfId="2" applyNumberFormat="1" applyFont="1" applyFill="1" applyBorder="1" applyAlignment="1">
      <alignment horizontal="right" vertical="center"/>
    </xf>
    <xf numFmtId="2" fontId="61" fillId="5" borderId="9" xfId="2" applyNumberFormat="1" applyFont="1" applyFill="1" applyBorder="1" applyAlignment="1">
      <alignment horizontal="right" vertical="center"/>
    </xf>
    <xf numFmtId="3" fontId="61" fillId="5" borderId="14" xfId="2" applyNumberFormat="1" applyFont="1" applyFill="1" applyBorder="1" applyAlignment="1">
      <alignment horizontal="right" vertical="center"/>
    </xf>
    <xf numFmtId="2" fontId="61" fillId="5" borderId="14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left" vertical="center" wrapText="1" indent="1"/>
    </xf>
    <xf numFmtId="3" fontId="14" fillId="0" borderId="15" xfId="2" applyNumberFormat="1" applyFont="1" applyFill="1" applyBorder="1" applyAlignment="1">
      <alignment vertical="center"/>
    </xf>
    <xf numFmtId="3" fontId="18" fillId="3" borderId="16" xfId="2" applyNumberFormat="1" applyFont="1" applyFill="1" applyBorder="1" applyAlignment="1">
      <alignment horizontal="left" wrapText="1"/>
    </xf>
    <xf numFmtId="3" fontId="19" fillId="3" borderId="14" xfId="2" applyNumberFormat="1" applyFont="1" applyFill="1" applyBorder="1" applyAlignment="1">
      <alignment horizontal="right" vertical="center"/>
    </xf>
    <xf numFmtId="3" fontId="10" fillId="3" borderId="14" xfId="2" applyNumberFormat="1" applyFont="1" applyFill="1" applyBorder="1" applyAlignment="1">
      <alignment vertical="center"/>
    </xf>
    <xf numFmtId="3" fontId="19" fillId="5" borderId="5" xfId="2" applyNumberFormat="1" applyFont="1" applyFill="1" applyBorder="1" applyAlignment="1">
      <alignment horizontal="right" vertical="center"/>
    </xf>
    <xf numFmtId="4" fontId="19" fillId="5" borderId="78" xfId="2" applyNumberFormat="1" applyFont="1" applyFill="1" applyBorder="1" applyAlignment="1">
      <alignment horizontal="right" vertical="center"/>
    </xf>
    <xf numFmtId="3" fontId="19" fillId="4" borderId="5" xfId="2" applyNumberFormat="1" applyFont="1" applyFill="1" applyBorder="1" applyAlignment="1">
      <alignment horizontal="right" vertical="center"/>
    </xf>
    <xf numFmtId="165" fontId="19" fillId="4" borderId="5" xfId="2" applyNumberFormat="1" applyFont="1" applyFill="1" applyBorder="1" applyAlignment="1">
      <alignment horizontal="right" vertical="center"/>
    </xf>
    <xf numFmtId="3" fontId="19" fillId="4" borderId="5" xfId="2" applyNumberFormat="1" applyFont="1" applyFill="1" applyBorder="1" applyAlignment="1">
      <alignment vertical="center"/>
    </xf>
    <xf numFmtId="4" fontId="19" fillId="4" borderId="5" xfId="2" applyNumberFormat="1" applyFont="1" applyFill="1" applyBorder="1" applyAlignment="1">
      <alignment horizontal="right" vertical="center"/>
    </xf>
    <xf numFmtId="3" fontId="60" fillId="4" borderId="77" xfId="2" applyNumberFormat="1" applyFont="1" applyFill="1" applyBorder="1" applyAlignment="1">
      <alignment vertical="center"/>
    </xf>
    <xf numFmtId="3" fontId="60" fillId="4" borderId="78" xfId="2" applyNumberFormat="1" applyFont="1" applyFill="1" applyBorder="1" applyAlignment="1">
      <alignment vertical="center"/>
    </xf>
    <xf numFmtId="3" fontId="60" fillId="4" borderId="76" xfId="2" applyNumberFormat="1" applyFont="1" applyFill="1" applyBorder="1" applyAlignment="1">
      <alignment vertical="center"/>
    </xf>
    <xf numFmtId="3" fontId="61" fillId="4" borderId="77" xfId="2" applyNumberFormat="1" applyFont="1" applyFill="1" applyBorder="1" applyAlignment="1">
      <alignment vertical="center"/>
    </xf>
    <xf numFmtId="4" fontId="60" fillId="4" borderId="78" xfId="2" applyNumberFormat="1" applyFont="1" applyFill="1" applyBorder="1" applyAlignment="1">
      <alignment vertical="center"/>
    </xf>
    <xf numFmtId="3" fontId="60" fillId="4" borderId="10" xfId="2" applyNumberFormat="1" applyFont="1" applyFill="1" applyBorder="1" applyAlignment="1">
      <alignment vertical="center"/>
    </xf>
    <xf numFmtId="3" fontId="60" fillId="4" borderId="19" xfId="2" applyNumberFormat="1" applyFont="1" applyFill="1" applyBorder="1" applyAlignment="1">
      <alignment vertical="center"/>
    </xf>
    <xf numFmtId="3" fontId="60" fillId="4" borderId="6" xfId="2" applyNumberFormat="1" applyFont="1" applyFill="1" applyBorder="1" applyAlignment="1">
      <alignment vertical="center"/>
    </xf>
    <xf numFmtId="3" fontId="60" fillId="4" borderId="13" xfId="2" applyNumberFormat="1" applyFont="1" applyFill="1" applyBorder="1" applyAlignment="1">
      <alignment vertical="center"/>
    </xf>
    <xf numFmtId="3" fontId="60" fillId="4" borderId="9" xfId="2" applyNumberFormat="1" applyFont="1" applyFill="1" applyBorder="1" applyAlignment="1">
      <alignment vertical="center"/>
    </xf>
    <xf numFmtId="3" fontId="61" fillId="4" borderId="9" xfId="2" applyNumberFormat="1" applyFont="1" applyFill="1" applyBorder="1" applyAlignment="1">
      <alignment vertical="center"/>
    </xf>
    <xf numFmtId="4" fontId="60" fillId="4" borderId="9" xfId="2" applyNumberFormat="1" applyFont="1" applyFill="1" applyBorder="1" applyAlignment="1">
      <alignment vertical="center"/>
    </xf>
    <xf numFmtId="3" fontId="60" fillId="4" borderId="75" xfId="2" applyNumberFormat="1" applyFont="1" applyFill="1" applyBorder="1" applyAlignment="1">
      <alignment vertical="center"/>
    </xf>
    <xf numFmtId="3" fontId="60" fillId="4" borderId="5" xfId="2" applyNumberFormat="1" applyFont="1" applyFill="1" applyBorder="1" applyAlignment="1">
      <alignment vertical="center"/>
    </xf>
    <xf numFmtId="3" fontId="61" fillId="4" borderId="5" xfId="2" applyNumberFormat="1" applyFont="1" applyFill="1" applyBorder="1" applyAlignment="1">
      <alignment vertical="center"/>
    </xf>
    <xf numFmtId="3" fontId="61" fillId="4" borderId="14" xfId="2" applyNumberFormat="1" applyFont="1" applyFill="1" applyBorder="1" applyAlignment="1">
      <alignment vertical="center"/>
    </xf>
    <xf numFmtId="4" fontId="60" fillId="4" borderId="14" xfId="2" applyNumberFormat="1" applyFont="1" applyFill="1" applyBorder="1" applyAlignment="1">
      <alignment vertical="center"/>
    </xf>
    <xf numFmtId="3" fontId="63" fillId="0" borderId="0" xfId="2" applyNumberFormat="1" applyFont="1" applyFill="1" applyAlignment="1">
      <alignment vertical="center"/>
    </xf>
    <xf numFmtId="3" fontId="62" fillId="0" borderId="22" xfId="2" applyNumberFormat="1" applyFont="1" applyFill="1" applyBorder="1" applyAlignment="1">
      <alignment vertical="center"/>
    </xf>
    <xf numFmtId="4" fontId="63" fillId="0" borderId="0" xfId="2" applyNumberFormat="1" applyFont="1" applyFill="1" applyAlignment="1">
      <alignment horizontal="right" vertical="center"/>
    </xf>
    <xf numFmtId="3" fontId="18" fillId="0" borderId="0" xfId="2" applyNumberFormat="1" applyFont="1" applyFill="1" applyAlignment="1">
      <alignment vertical="center"/>
    </xf>
    <xf numFmtId="3" fontId="19" fillId="0" borderId="0" xfId="2" applyNumberFormat="1" applyFont="1" applyFill="1" applyAlignment="1">
      <alignment vertical="center"/>
    </xf>
    <xf numFmtId="2" fontId="62" fillId="0" borderId="0" xfId="2" applyNumberFormat="1" applyFont="1" applyFill="1" applyAlignment="1">
      <alignment vertical="center"/>
    </xf>
    <xf numFmtId="2" fontId="63" fillId="0" borderId="0" xfId="2" applyNumberFormat="1" applyFont="1" applyFill="1" applyAlignment="1">
      <alignment horizontal="right" vertical="center"/>
    </xf>
    <xf numFmtId="1" fontId="57" fillId="3" borderId="13" xfId="2" applyNumberFormat="1" applyFont="1" applyFill="1" applyBorder="1" applyAlignment="1">
      <alignment horizontal="right" vertical="center"/>
    </xf>
    <xf numFmtId="0" fontId="18" fillId="3" borderId="15" xfId="0" applyFont="1" applyFill="1" applyBorder="1"/>
    <xf numFmtId="4" fontId="19" fillId="3" borderId="15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horizontal="left" wrapText="1"/>
    </xf>
    <xf numFmtId="3" fontId="18" fillId="3" borderId="77" xfId="2" applyNumberFormat="1" applyFont="1" applyFill="1" applyBorder="1" applyAlignment="1">
      <alignment vertical="center"/>
    </xf>
    <xf numFmtId="1" fontId="57" fillId="0" borderId="75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vertical="center" shrinkToFit="1"/>
    </xf>
    <xf numFmtId="4" fontId="19" fillId="3" borderId="78" xfId="2" applyNumberFormat="1" applyFont="1" applyFill="1" applyBorder="1" applyAlignment="1">
      <alignment horizontal="right" vertical="center"/>
    </xf>
    <xf numFmtId="3" fontId="50" fillId="6" borderId="116" xfId="2" applyNumberFormat="1" applyFont="1" applyFill="1" applyBorder="1" applyAlignment="1">
      <alignment horizontal="center" vertical="center"/>
    </xf>
    <xf numFmtId="3" fontId="50" fillId="6" borderId="118" xfId="2" applyNumberFormat="1" applyFont="1" applyFill="1" applyBorder="1" applyAlignment="1">
      <alignment horizontal="center" vertical="center"/>
    </xf>
    <xf numFmtId="3" fontId="50" fillId="6" borderId="119" xfId="2" applyNumberFormat="1" applyFont="1" applyFill="1" applyBorder="1" applyAlignment="1">
      <alignment horizontal="center" vertical="center"/>
    </xf>
    <xf numFmtId="3" fontId="50" fillId="3" borderId="81" xfId="2" applyNumberFormat="1" applyFont="1" applyFill="1" applyBorder="1" applyAlignment="1">
      <alignment horizontal="center" vertical="center"/>
    </xf>
    <xf numFmtId="3" fontId="50" fillId="3" borderId="92" xfId="2" applyNumberFormat="1" applyFont="1" applyFill="1" applyBorder="1" applyAlignment="1">
      <alignment horizontal="center" vertical="center"/>
    </xf>
    <xf numFmtId="3" fontId="50" fillId="3" borderId="89" xfId="2" applyNumberFormat="1" applyFont="1" applyFill="1" applyBorder="1" applyAlignment="1">
      <alignment horizontal="center" vertical="center"/>
    </xf>
    <xf numFmtId="3" fontId="52" fillId="6" borderId="75" xfId="2" applyNumberFormat="1" applyFont="1" applyFill="1" applyBorder="1" applyAlignment="1">
      <alignment horizontal="center" vertical="center"/>
    </xf>
    <xf numFmtId="3" fontId="52" fillId="6" borderId="1" xfId="2" applyNumberFormat="1" applyFont="1" applyFill="1" applyBorder="1" applyAlignment="1">
      <alignment horizontal="center" vertical="center"/>
    </xf>
    <xf numFmtId="3" fontId="52" fillId="6" borderId="98" xfId="2" applyNumberFormat="1" applyFont="1" applyFill="1" applyBorder="1" applyAlignment="1">
      <alignment horizontal="center" vertical="center"/>
    </xf>
    <xf numFmtId="3" fontId="52" fillId="4" borderId="17" xfId="2" applyNumberFormat="1" applyFont="1" applyFill="1" applyBorder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3" fontId="12" fillId="3" borderId="23" xfId="0" applyNumberFormat="1" applyFont="1" applyFill="1" applyBorder="1" applyAlignment="1">
      <alignment vertical="center" wrapText="1"/>
    </xf>
    <xf numFmtId="3" fontId="12" fillId="0" borderId="23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3" fontId="10" fillId="6" borderId="116" xfId="2" applyNumberFormat="1" applyFont="1" applyFill="1" applyBorder="1" applyAlignment="1">
      <alignment vertical="center"/>
    </xf>
    <xf numFmtId="1" fontId="10" fillId="6" borderId="116" xfId="2" applyNumberFormat="1" applyFont="1" applyFill="1" applyBorder="1" applyAlignment="1">
      <alignment horizontal="right" vertical="center"/>
    </xf>
    <xf numFmtId="3" fontId="19" fillId="6" borderId="116" xfId="2" applyNumberFormat="1" applyFont="1" applyFill="1" applyBorder="1" applyAlignment="1">
      <alignment horizontal="left" vertical="center" wrapText="1" indent="1"/>
    </xf>
    <xf numFmtId="3" fontId="19" fillId="6" borderId="116" xfId="2" applyNumberFormat="1" applyFont="1" applyFill="1" applyBorder="1" applyAlignment="1">
      <alignment vertical="center"/>
    </xf>
    <xf numFmtId="3" fontId="19" fillId="6" borderId="116" xfId="2" applyNumberFormat="1" applyFont="1" applyFill="1" applyBorder="1" applyAlignment="1">
      <alignment horizontal="right" vertical="center"/>
    </xf>
    <xf numFmtId="4" fontId="19" fillId="6" borderId="83" xfId="2" applyNumberFormat="1" applyFont="1" applyFill="1" applyBorder="1" applyAlignment="1">
      <alignment horizontal="right" vertical="center"/>
    </xf>
    <xf numFmtId="1" fontId="11" fillId="6" borderId="116" xfId="2" applyNumberFormat="1" applyFont="1" applyFill="1" applyBorder="1" applyAlignment="1">
      <alignment horizontal="right" vertical="center"/>
    </xf>
    <xf numFmtId="3" fontId="61" fillId="6" borderId="116" xfId="2" applyNumberFormat="1" applyFont="1" applyFill="1" applyBorder="1" applyAlignment="1">
      <alignment horizontal="left" vertical="center" indent="2"/>
    </xf>
    <xf numFmtId="3" fontId="10" fillId="6" borderId="117" xfId="2" applyNumberFormat="1" applyFont="1" applyFill="1" applyBorder="1" applyAlignment="1">
      <alignment vertical="center"/>
    </xf>
    <xf numFmtId="1" fontId="11" fillId="6" borderId="117" xfId="2" applyNumberFormat="1" applyFont="1" applyFill="1" applyBorder="1" applyAlignment="1">
      <alignment horizontal="right" vertical="center"/>
    </xf>
    <xf numFmtId="3" fontId="61" fillId="6" borderId="117" xfId="2" applyNumberFormat="1" applyFont="1" applyFill="1" applyBorder="1" applyAlignment="1">
      <alignment horizontal="left" vertical="center" indent="2"/>
    </xf>
    <xf numFmtId="3" fontId="19" fillId="6" borderId="117" xfId="2" applyNumberFormat="1" applyFont="1" applyFill="1" applyBorder="1" applyAlignment="1">
      <alignment vertical="center"/>
    </xf>
    <xf numFmtId="3" fontId="10" fillId="0" borderId="18" xfId="2" applyNumberFormat="1" applyFont="1" applyFill="1" applyBorder="1" applyAlignment="1">
      <alignment vertical="center"/>
    </xf>
    <xf numFmtId="1" fontId="11" fillId="0" borderId="13" xfId="2" applyNumberFormat="1" applyFont="1" applyFill="1" applyBorder="1" applyAlignment="1">
      <alignment horizontal="right" vertical="center"/>
    </xf>
    <xf numFmtId="3" fontId="61" fillId="0" borderId="13" xfId="2" applyNumberFormat="1" applyFont="1" applyFill="1" applyBorder="1" applyAlignment="1">
      <alignment horizontal="left" vertical="center" indent="2"/>
    </xf>
    <xf numFmtId="3" fontId="19" fillId="0" borderId="13" xfId="2" applyNumberFormat="1" applyFont="1" applyFill="1" applyBorder="1" applyAlignment="1">
      <alignment vertical="center"/>
    </xf>
    <xf numFmtId="3" fontId="19" fillId="0" borderId="13" xfId="2" applyNumberFormat="1" applyFont="1" applyFill="1" applyBorder="1" applyAlignment="1">
      <alignment horizontal="right" vertical="center"/>
    </xf>
    <xf numFmtId="4" fontId="19" fillId="0" borderId="13" xfId="2" applyNumberFormat="1" applyFont="1" applyFill="1" applyBorder="1" applyAlignment="1">
      <alignment horizontal="right" vertical="center"/>
    </xf>
    <xf numFmtId="1" fontId="11" fillId="0" borderId="15" xfId="2" applyNumberFormat="1" applyFont="1" applyFill="1" applyBorder="1" applyAlignment="1">
      <alignment horizontal="right" vertical="center"/>
    </xf>
    <xf numFmtId="3" fontId="27" fillId="0" borderId="15" xfId="2" applyNumberFormat="1" applyFont="1" applyFill="1" applyBorder="1" applyAlignment="1">
      <alignment horizontal="left" vertical="center" indent="2"/>
    </xf>
    <xf numFmtId="3" fontId="19" fillId="0" borderId="15" xfId="2" applyNumberFormat="1" applyFont="1" applyFill="1" applyBorder="1" applyAlignment="1">
      <alignment vertical="center"/>
    </xf>
    <xf numFmtId="3" fontId="19" fillId="0" borderId="15" xfId="2" applyNumberFormat="1" applyFont="1" applyFill="1" applyBorder="1" applyAlignment="1">
      <alignment horizontal="right" vertical="center"/>
    </xf>
    <xf numFmtId="4" fontId="19" fillId="0" borderId="15" xfId="2" applyNumberFormat="1" applyFont="1" applyFill="1" applyBorder="1" applyAlignment="1">
      <alignment horizontal="right" vertical="center"/>
    </xf>
    <xf numFmtId="3" fontId="60" fillId="0" borderId="13" xfId="2" applyNumberFormat="1" applyFont="1" applyFill="1" applyBorder="1" applyAlignment="1">
      <alignment horizontal="left" vertical="center" indent="2"/>
    </xf>
    <xf numFmtId="3" fontId="61" fillId="0" borderId="15" xfId="2" applyNumberFormat="1" applyFont="1" applyFill="1" applyBorder="1" applyAlignment="1">
      <alignment horizontal="left" vertical="center" indent="2"/>
    </xf>
    <xf numFmtId="3" fontId="63" fillId="3" borderId="5" xfId="2" applyNumberFormat="1" applyFont="1" applyFill="1" applyBorder="1" applyAlignment="1">
      <alignment horizontal="center" vertical="center" wrapText="1"/>
    </xf>
    <xf numFmtId="3" fontId="63" fillId="3" borderId="9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shrinkToFit="1"/>
    </xf>
    <xf numFmtId="3" fontId="19" fillId="6" borderId="5" xfId="2" applyNumberFormat="1" applyFont="1" applyFill="1" applyBorder="1" applyAlignment="1">
      <alignment horizontal="center" vertical="center"/>
    </xf>
    <xf numFmtId="3" fontId="19" fillId="3" borderId="15" xfId="2" applyNumberFormat="1" applyFont="1" applyFill="1" applyBorder="1" applyAlignment="1">
      <alignment horizontal="center" vertical="center"/>
    </xf>
    <xf numFmtId="3" fontId="19" fillId="3" borderId="13" xfId="2" applyNumberFormat="1" applyFont="1" applyFill="1" applyBorder="1" applyAlignment="1">
      <alignment horizontal="center" vertical="center"/>
    </xf>
    <xf numFmtId="3" fontId="18" fillId="3" borderId="16" xfId="2" applyNumberFormat="1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 vertical="center"/>
    </xf>
    <xf numFmtId="3" fontId="18" fillId="3" borderId="16" xfId="2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/>
    </xf>
    <xf numFmtId="3" fontId="19" fillId="3" borderId="16" xfId="2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 wrapText="1"/>
    </xf>
    <xf numFmtId="3" fontId="19" fillId="3" borderId="5" xfId="2" applyNumberFormat="1" applyFont="1" applyFill="1" applyBorder="1" applyAlignment="1">
      <alignment horizontal="center" vertical="center"/>
    </xf>
    <xf numFmtId="3" fontId="19" fillId="3" borderId="13" xfId="2" applyNumberFormat="1" applyFont="1" applyFill="1" applyBorder="1" applyAlignment="1">
      <alignment horizontal="center" vertical="center" wrapText="1"/>
    </xf>
    <xf numFmtId="3" fontId="61" fillId="3" borderId="13" xfId="2" applyNumberFormat="1" applyFont="1" applyFill="1" applyBorder="1" applyAlignment="1">
      <alignment horizontal="center" vertical="center"/>
    </xf>
    <xf numFmtId="3" fontId="18" fillId="3" borderId="15" xfId="2" applyNumberFormat="1" applyFont="1" applyFill="1" applyBorder="1" applyAlignment="1">
      <alignment horizontal="center" vertical="center" wrapText="1"/>
    </xf>
    <xf numFmtId="3" fontId="60" fillId="3" borderId="13" xfId="2" applyNumberFormat="1" applyFont="1" applyFill="1" applyBorder="1" applyAlignment="1">
      <alignment horizontal="left" vertical="center" indent="2"/>
    </xf>
    <xf numFmtId="3" fontId="19" fillId="3" borderId="13" xfId="2" applyNumberFormat="1" applyFont="1" applyFill="1" applyBorder="1" applyAlignment="1">
      <alignment vertical="center"/>
    </xf>
    <xf numFmtId="3" fontId="19" fillId="3" borderId="13" xfId="2" applyNumberFormat="1" applyFont="1" applyFill="1" applyBorder="1" applyAlignment="1">
      <alignment horizontal="right" vertical="center"/>
    </xf>
    <xf numFmtId="4" fontId="19" fillId="3" borderId="82" xfId="2" applyNumberFormat="1" applyFont="1" applyFill="1" applyBorder="1" applyAlignment="1">
      <alignment horizontal="right" vertical="center"/>
    </xf>
    <xf numFmtId="166" fontId="18" fillId="3" borderId="15" xfId="2" applyNumberFormat="1" applyFont="1" applyFill="1" applyBorder="1" applyAlignment="1">
      <alignment vertical="center"/>
    </xf>
    <xf numFmtId="3" fontId="18" fillId="3" borderId="13" xfId="2" applyNumberFormat="1" applyFont="1" applyFill="1" applyBorder="1" applyAlignment="1">
      <alignment vertical="center"/>
    </xf>
    <xf numFmtId="3" fontId="18" fillId="3" borderId="13" xfId="2" applyNumberFormat="1" applyFont="1" applyFill="1" applyBorder="1" applyAlignment="1">
      <alignment horizontal="right" vertical="center"/>
    </xf>
    <xf numFmtId="3" fontId="19" fillId="5" borderId="116" xfId="2" applyNumberFormat="1" applyFont="1" applyFill="1" applyBorder="1" applyAlignment="1">
      <alignment horizontal="right" vertical="center"/>
    </xf>
    <xf numFmtId="3" fontId="60" fillId="5" borderId="116" xfId="2" applyNumberFormat="1" applyFont="1" applyFill="1" applyBorder="1" applyAlignment="1">
      <alignment horizontal="right" vertical="center"/>
    </xf>
    <xf numFmtId="3" fontId="60" fillId="3" borderId="13" xfId="2" applyNumberFormat="1" applyFont="1" applyFill="1" applyBorder="1" applyAlignment="1">
      <alignment horizontal="right" vertical="center"/>
    </xf>
    <xf numFmtId="1" fontId="57" fillId="0" borderId="15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vertical="center"/>
    </xf>
    <xf numFmtId="3" fontId="18" fillId="0" borderId="15" xfId="2" applyNumberFormat="1" applyFont="1" applyFill="1" applyBorder="1" applyAlignment="1">
      <alignment vertical="center" shrinkToFit="1"/>
    </xf>
    <xf numFmtId="3" fontId="60" fillId="0" borderId="15" xfId="2" applyNumberFormat="1" applyFont="1" applyFill="1" applyBorder="1" applyAlignment="1">
      <alignment vertical="center" shrinkToFit="1"/>
    </xf>
    <xf numFmtId="3" fontId="18" fillId="3" borderId="15" xfId="2" applyNumberFormat="1" applyFont="1" applyFill="1" applyBorder="1" applyAlignment="1">
      <alignment horizontal="left"/>
    </xf>
    <xf numFmtId="1" fontId="57" fillId="0" borderId="16" xfId="2" applyNumberFormat="1" applyFont="1" applyFill="1" applyBorder="1" applyAlignment="1">
      <alignment horizontal="right" vertical="center"/>
    </xf>
    <xf numFmtId="3" fontId="61" fillId="5" borderId="116" xfId="2" applyNumberFormat="1" applyFont="1" applyFill="1" applyBorder="1" applyAlignment="1">
      <alignment horizontal="right" vertical="center"/>
    </xf>
    <xf numFmtId="3" fontId="21" fillId="0" borderId="109" xfId="0" applyNumberFormat="1" applyFont="1" applyFill="1" applyBorder="1" applyAlignment="1">
      <alignment horizontal="center" vertical="center" shrinkToFit="1"/>
    </xf>
    <xf numFmtId="0" fontId="58" fillId="4" borderId="92" xfId="0" applyFont="1" applyFill="1" applyBorder="1" applyAlignment="1">
      <alignment vertical="center" shrinkToFit="1"/>
    </xf>
    <xf numFmtId="0" fontId="57" fillId="4" borderId="15" xfId="0" applyFont="1" applyFill="1" applyBorder="1" applyAlignment="1">
      <alignment horizontal="center" vertical="center" shrinkToFit="1"/>
    </xf>
    <xf numFmtId="49" fontId="21" fillId="4" borderId="15" xfId="0" applyNumberFormat="1" applyFont="1" applyFill="1" applyBorder="1" applyAlignment="1">
      <alignment vertical="center" shrinkToFit="1"/>
    </xf>
    <xf numFmtId="165" fontId="21" fillId="4" borderId="15" xfId="0" applyNumberFormat="1" applyFont="1" applyFill="1" applyBorder="1" applyAlignment="1">
      <alignment vertical="center" shrinkToFit="1"/>
    </xf>
    <xf numFmtId="0" fontId="58" fillId="0" borderId="92" xfId="0" applyFont="1" applyFill="1" applyBorder="1" applyAlignment="1">
      <alignment vertical="center" shrinkToFit="1"/>
    </xf>
    <xf numFmtId="0" fontId="57" fillId="0" borderId="15" xfId="0" applyFont="1" applyFill="1" applyBorder="1" applyAlignment="1">
      <alignment horizontal="center"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3" fontId="21" fillId="0" borderId="15" xfId="0" applyNumberFormat="1" applyFont="1" applyFill="1" applyBorder="1" applyAlignment="1">
      <alignment horizontal="right" vertical="center" shrinkToFit="1"/>
    </xf>
    <xf numFmtId="0" fontId="57" fillId="0" borderId="92" xfId="0" applyFont="1" applyFill="1" applyBorder="1" applyAlignment="1">
      <alignment vertical="center" shrinkToFit="1"/>
    </xf>
    <xf numFmtId="0" fontId="58" fillId="0" borderId="15" xfId="0" applyFont="1" applyFill="1" applyBorder="1" applyAlignment="1">
      <alignment horizontal="center" vertical="center" shrinkToFit="1"/>
    </xf>
    <xf numFmtId="0" fontId="21" fillId="0" borderId="15" xfId="0" applyFont="1" applyBorder="1" applyAlignment="1">
      <alignment horizontal="left" vertical="center" shrinkToFit="1"/>
    </xf>
    <xf numFmtId="165" fontId="21" fillId="0" borderId="15" xfId="0" applyNumberFormat="1" applyFont="1" applyBorder="1" applyAlignment="1">
      <alignment horizontal="left" vertical="center" shrinkToFit="1"/>
    </xf>
    <xf numFmtId="0" fontId="21" fillId="8" borderId="15" xfId="0" applyFont="1" applyFill="1" applyBorder="1" applyAlignment="1">
      <alignment horizontal="left" vertical="center" shrinkToFit="1"/>
    </xf>
    <xf numFmtId="165" fontId="21" fillId="8" borderId="15" xfId="0" applyNumberFormat="1" applyFont="1" applyFill="1" applyBorder="1" applyAlignment="1">
      <alignment horizontal="left" vertical="center" shrinkToFit="1"/>
    </xf>
    <xf numFmtId="0" fontId="21" fillId="7" borderId="15" xfId="0" applyFont="1" applyFill="1" applyBorder="1" applyAlignment="1">
      <alignment horizontal="left" vertical="center" shrinkToFit="1"/>
    </xf>
    <xf numFmtId="165" fontId="21" fillId="7" borderId="15" xfId="0" applyNumberFormat="1" applyFont="1" applyFill="1" applyBorder="1" applyAlignment="1">
      <alignment horizontal="left" vertical="center" shrinkToFit="1"/>
    </xf>
    <xf numFmtId="3" fontId="21" fillId="7" borderId="15" xfId="0" applyNumberFormat="1" applyFont="1" applyFill="1" applyBorder="1" applyAlignment="1">
      <alignment horizontal="right" vertical="center" shrinkToFit="1"/>
    </xf>
    <xf numFmtId="0" fontId="67" fillId="0" borderId="15" xfId="0" applyFont="1" applyFill="1" applyBorder="1" applyAlignment="1">
      <alignment horizontal="left" vertical="center" shrinkToFit="1"/>
    </xf>
    <xf numFmtId="3" fontId="67" fillId="0" borderId="15" xfId="0" applyNumberFormat="1" applyFont="1" applyFill="1" applyBorder="1" applyAlignment="1">
      <alignment horizontal="right" vertical="center" shrinkToFit="1"/>
    </xf>
    <xf numFmtId="3" fontId="34" fillId="7" borderId="15" xfId="0" applyNumberFormat="1" applyFont="1" applyFill="1" applyBorder="1" applyAlignment="1">
      <alignment horizontal="right" vertical="center" shrinkToFit="1"/>
    </xf>
    <xf numFmtId="0" fontId="67" fillId="3" borderId="15" xfId="0" applyFont="1" applyFill="1" applyBorder="1" applyAlignment="1">
      <alignment horizontal="left" vertical="center" shrinkToFit="1"/>
    </xf>
    <xf numFmtId="3" fontId="34" fillId="3" borderId="15" xfId="0" applyNumberFormat="1" applyFont="1" applyFill="1" applyBorder="1" applyAlignment="1">
      <alignment horizontal="right" vertical="center" shrinkToFit="1"/>
    </xf>
    <xf numFmtId="0" fontId="57" fillId="7" borderId="92" xfId="0" applyFont="1" applyFill="1" applyBorder="1" applyAlignment="1">
      <alignment vertical="center" shrinkToFit="1"/>
    </xf>
    <xf numFmtId="0" fontId="58" fillId="7" borderId="15" xfId="0" applyFont="1" applyFill="1" applyBorder="1" applyAlignment="1">
      <alignment horizontal="center" vertical="center" shrinkToFit="1"/>
    </xf>
    <xf numFmtId="41" fontId="34" fillId="0" borderId="0" xfId="0" applyNumberFormat="1" applyFont="1" applyBorder="1"/>
    <xf numFmtId="41" fontId="34" fillId="3" borderId="15" xfId="0" applyNumberFormat="1" applyFont="1" applyFill="1" applyBorder="1" applyAlignment="1">
      <alignment horizontal="right" vertical="center" shrinkToFit="1"/>
    </xf>
    <xf numFmtId="1" fontId="57" fillId="7" borderId="15" xfId="0" applyNumberFormat="1" applyFont="1" applyFill="1" applyBorder="1" applyAlignment="1">
      <alignment horizontal="center" vertical="center" shrinkToFit="1"/>
    </xf>
    <xf numFmtId="49" fontId="21" fillId="7" borderId="15" xfId="0" applyNumberFormat="1" applyFont="1" applyFill="1" applyBorder="1" applyAlignment="1">
      <alignment vertical="center" shrinkToFit="1"/>
    </xf>
    <xf numFmtId="165" fontId="21" fillId="7" borderId="15" xfId="0" applyNumberFormat="1" applyFont="1" applyFill="1" applyBorder="1" applyAlignment="1">
      <alignment vertical="center" shrinkToFit="1"/>
    </xf>
    <xf numFmtId="1" fontId="57" fillId="0" borderId="15" xfId="0" applyNumberFormat="1" applyFont="1" applyFill="1" applyBorder="1" applyAlignment="1">
      <alignment horizontal="center" vertical="center" shrinkToFit="1"/>
    </xf>
    <xf numFmtId="49" fontId="68" fillId="8" borderId="15" xfId="0" applyNumberFormat="1" applyFont="1" applyFill="1" applyBorder="1" applyAlignment="1">
      <alignment vertical="center" shrinkToFit="1"/>
    </xf>
    <xf numFmtId="165" fontId="68" fillId="8" borderId="15" xfId="0" applyNumberFormat="1" applyFont="1" applyFill="1" applyBorder="1" applyAlignment="1">
      <alignment vertical="center" shrinkToFit="1"/>
    </xf>
    <xf numFmtId="49" fontId="67" fillId="0" borderId="15" xfId="0" applyNumberFormat="1" applyFont="1" applyFill="1" applyBorder="1" applyAlignment="1">
      <alignment vertical="center" shrinkToFit="1"/>
    </xf>
    <xf numFmtId="3" fontId="34" fillId="0" borderId="15" xfId="0" applyNumberFormat="1" applyFont="1" applyFill="1" applyBorder="1" applyAlignment="1">
      <alignment horizontal="right" vertical="center" shrinkToFit="1"/>
    </xf>
    <xf numFmtId="3" fontId="34" fillId="0" borderId="85" xfId="0" applyNumberFormat="1" applyFont="1" applyFill="1" applyBorder="1" applyAlignment="1">
      <alignment horizontal="right" vertical="center" shrinkToFit="1"/>
    </xf>
    <xf numFmtId="49" fontId="67" fillId="0" borderId="15" xfId="0" quotePrefix="1" applyNumberFormat="1" applyFont="1" applyFill="1" applyBorder="1" applyAlignment="1">
      <alignment vertical="center" shrinkToFit="1"/>
    </xf>
    <xf numFmtId="49" fontId="68" fillId="10" borderId="15" xfId="0" applyNumberFormat="1" applyFont="1" applyFill="1" applyBorder="1" applyAlignment="1">
      <alignment vertical="center" shrinkToFit="1"/>
    </xf>
    <xf numFmtId="165" fontId="68" fillId="10" borderId="15" xfId="0" applyNumberFormat="1" applyFont="1" applyFill="1" applyBorder="1" applyAlignment="1">
      <alignment vertical="center" shrinkToFit="1"/>
    </xf>
    <xf numFmtId="0" fontId="57" fillId="11" borderId="92" xfId="0" applyFont="1" applyFill="1" applyBorder="1" applyAlignment="1">
      <alignment vertical="center" shrinkToFit="1"/>
    </xf>
    <xf numFmtId="0" fontId="58" fillId="11" borderId="15" xfId="0" applyFont="1" applyFill="1" applyBorder="1" applyAlignment="1">
      <alignment horizontal="center" vertical="center" shrinkToFit="1"/>
    </xf>
    <xf numFmtId="49" fontId="21" fillId="11" borderId="15" xfId="0" applyNumberFormat="1" applyFont="1" applyFill="1" applyBorder="1" applyAlignment="1">
      <alignment vertical="center" wrapText="1"/>
    </xf>
    <xf numFmtId="3" fontId="21" fillId="11" borderId="15" xfId="0" applyNumberFormat="1" applyFont="1" applyFill="1" applyBorder="1" applyAlignment="1">
      <alignment horizontal="right" vertical="center" shrinkToFit="1"/>
    </xf>
    <xf numFmtId="0" fontId="57" fillId="4" borderId="92" xfId="0" applyFont="1" applyFill="1" applyBorder="1" applyAlignment="1">
      <alignment vertical="center" shrinkToFit="1"/>
    </xf>
    <xf numFmtId="0" fontId="58" fillId="4" borderId="15" xfId="0" applyFont="1" applyFill="1" applyBorder="1" applyAlignment="1">
      <alignment horizontal="center" vertical="center" shrinkToFit="1"/>
    </xf>
    <xf numFmtId="49" fontId="67" fillId="7" borderId="15" xfId="0" applyNumberFormat="1" applyFont="1" applyFill="1" applyBorder="1" applyAlignment="1">
      <alignment vertical="center" shrinkToFit="1"/>
    </xf>
    <xf numFmtId="49" fontId="21" fillId="7" borderId="15" xfId="0" applyNumberFormat="1" applyFont="1" applyFill="1" applyBorder="1" applyAlignment="1">
      <alignment vertical="center" wrapText="1"/>
    </xf>
    <xf numFmtId="0" fontId="34" fillId="7" borderId="15" xfId="0" applyFont="1" applyFill="1" applyBorder="1"/>
    <xf numFmtId="3" fontId="21" fillId="4" borderId="15" xfId="0" applyNumberFormat="1" applyFont="1" applyFill="1" applyBorder="1" applyAlignment="1">
      <alignment horizontal="right" vertical="center" shrinkToFit="1"/>
    </xf>
    <xf numFmtId="0" fontId="58" fillId="7" borderId="92" xfId="0" applyFont="1" applyFill="1" applyBorder="1" applyAlignment="1">
      <alignment vertical="center" shrinkToFit="1"/>
    </xf>
    <xf numFmtId="165" fontId="34" fillId="0" borderId="15" xfId="0" applyNumberFormat="1" applyFont="1" applyBorder="1"/>
    <xf numFmtId="49" fontId="69" fillId="3" borderId="15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wrapText="1"/>
    </xf>
    <xf numFmtId="49" fontId="34" fillId="0" borderId="15" xfId="0" applyNumberFormat="1" applyFont="1" applyFill="1" applyBorder="1" applyAlignment="1">
      <alignment vertical="center" wrapText="1"/>
    </xf>
    <xf numFmtId="165" fontId="57" fillId="0" borderId="15" xfId="0" applyNumberFormat="1" applyFont="1" applyFill="1" applyBorder="1" applyAlignment="1">
      <alignment horizontal="left" vertical="center" shrinkToFit="1"/>
    </xf>
    <xf numFmtId="49" fontId="57" fillId="0" borderId="15" xfId="0" applyNumberFormat="1" applyFont="1" applyFill="1" applyBorder="1" applyAlignment="1">
      <alignment horizontal="left" vertical="center" indent="1" shrinkToFit="1"/>
    </xf>
    <xf numFmtId="3" fontId="57" fillId="0" borderId="15" xfId="0" applyNumberFormat="1" applyFont="1" applyFill="1" applyBorder="1" applyAlignment="1">
      <alignment horizontal="right" vertical="center" shrinkToFit="1"/>
    </xf>
    <xf numFmtId="1" fontId="57" fillId="0" borderId="15" xfId="0" quotePrefix="1" applyNumberFormat="1" applyFont="1" applyFill="1" applyBorder="1" applyAlignment="1">
      <alignment horizontal="center" vertical="center" shrinkToFit="1"/>
    </xf>
    <xf numFmtId="49" fontId="34" fillId="0" borderId="15" xfId="0" applyNumberFormat="1" applyFont="1" applyFill="1" applyBorder="1" applyAlignment="1">
      <alignment horizontal="justify" vertical="center" shrinkToFit="1"/>
    </xf>
    <xf numFmtId="1" fontId="58" fillId="0" borderId="15" xfId="0" applyNumberFormat="1" applyFont="1" applyFill="1" applyBorder="1" applyAlignment="1">
      <alignment horizontal="center" vertical="center" shrinkToFit="1"/>
    </xf>
    <xf numFmtId="0" fontId="67" fillId="0" borderId="15" xfId="0" applyFont="1" applyBorder="1"/>
    <xf numFmtId="3" fontId="34" fillId="0" borderId="15" xfId="0" applyNumberFormat="1" applyFont="1" applyBorder="1"/>
    <xf numFmtId="3" fontId="58" fillId="12" borderId="15" xfId="0" applyNumberFormat="1" applyFont="1" applyFill="1" applyBorder="1" applyAlignment="1">
      <alignment horizontal="right" vertical="center" shrinkToFit="1"/>
    </xf>
    <xf numFmtId="0" fontId="57" fillId="12" borderId="92" xfId="0" applyFont="1" applyFill="1" applyBorder="1" applyAlignment="1">
      <alignment vertical="center" shrinkToFit="1"/>
    </xf>
    <xf numFmtId="0" fontId="57" fillId="12" borderId="15" xfId="0" applyFont="1" applyFill="1" applyBorder="1" applyAlignment="1">
      <alignment horizontal="center" vertical="center" shrinkToFit="1"/>
    </xf>
    <xf numFmtId="49" fontId="58" fillId="12" borderId="15" xfId="0" applyNumberFormat="1" applyFont="1" applyFill="1" applyBorder="1" applyAlignment="1">
      <alignment horizontal="center" vertical="center" shrinkToFit="1"/>
    </xf>
    <xf numFmtId="0" fontId="57" fillId="12" borderId="89" xfId="0" applyFont="1" applyFill="1" applyBorder="1" applyAlignment="1">
      <alignment vertical="center" shrinkToFit="1"/>
    </xf>
    <xf numFmtId="0" fontId="57" fillId="12" borderId="14" xfId="0" applyFont="1" applyFill="1" applyBorder="1" applyAlignment="1">
      <alignment horizontal="center" vertical="center" shrinkToFit="1"/>
    </xf>
    <xf numFmtId="49" fontId="58" fillId="12" borderId="14" xfId="0" applyNumberFormat="1" applyFont="1" applyFill="1" applyBorder="1" applyAlignment="1">
      <alignment horizontal="center" vertical="center" shrinkToFit="1"/>
    </xf>
    <xf numFmtId="49" fontId="68" fillId="13" borderId="15" xfId="0" applyNumberFormat="1" applyFont="1" applyFill="1" applyBorder="1" applyAlignment="1">
      <alignment vertical="center" shrinkToFit="1"/>
    </xf>
    <xf numFmtId="3" fontId="21" fillId="13" borderId="15" xfId="0" applyNumberFormat="1" applyFont="1" applyFill="1" applyBorder="1" applyAlignment="1">
      <alignment horizontal="right" vertical="center" shrinkToFit="1"/>
    </xf>
    <xf numFmtId="3" fontId="10" fillId="6" borderId="76" xfId="2" applyNumberFormat="1" applyFont="1" applyFill="1" applyBorder="1" applyAlignment="1">
      <alignment horizontal="center" vertical="center"/>
    </xf>
    <xf numFmtId="1" fontId="58" fillId="6" borderId="36" xfId="2" applyNumberFormat="1" applyFont="1" applyFill="1" applyBorder="1" applyAlignment="1">
      <alignment horizontal="center" vertical="center" wrapText="1"/>
    </xf>
    <xf numFmtId="3" fontId="19" fillId="6" borderId="5" xfId="2" applyNumberFormat="1" applyFont="1" applyFill="1" applyBorder="1" applyAlignment="1">
      <alignment horizontal="left" vertical="center"/>
    </xf>
    <xf numFmtId="3" fontId="19" fillId="6" borderId="5" xfId="2" applyNumberFormat="1" applyFont="1" applyFill="1" applyBorder="1" applyAlignment="1">
      <alignment horizontal="center" vertical="center" wrapText="1"/>
    </xf>
    <xf numFmtId="1" fontId="58" fillId="6" borderId="77" xfId="2" applyNumberFormat="1" applyFont="1" applyFill="1" applyBorder="1" applyAlignment="1">
      <alignment horizontal="center" vertical="center" wrapText="1"/>
    </xf>
    <xf numFmtId="3" fontId="60" fillId="6" borderId="77" xfId="2" applyNumberFormat="1" applyFont="1" applyFill="1" applyBorder="1" applyAlignment="1">
      <alignment horizontal="left" vertical="center" indent="2"/>
    </xf>
    <xf numFmtId="3" fontId="19" fillId="6" borderId="77" xfId="2" applyNumberFormat="1" applyFont="1" applyFill="1" applyBorder="1" applyAlignment="1">
      <alignment horizontal="center" vertical="center"/>
    </xf>
    <xf numFmtId="3" fontId="19" fillId="6" borderId="77" xfId="2" applyNumberFormat="1" applyFont="1" applyFill="1" applyBorder="1" applyAlignment="1">
      <alignment horizontal="center" vertical="center" wrapText="1"/>
    </xf>
    <xf numFmtId="3" fontId="41" fillId="6" borderId="77" xfId="0" applyNumberFormat="1" applyFont="1" applyFill="1" applyBorder="1" applyAlignment="1">
      <alignment horizontal="center" vertical="center" wrapText="1"/>
    </xf>
    <xf numFmtId="3" fontId="10" fillId="6" borderId="36" xfId="2" applyNumberFormat="1" applyFont="1" applyFill="1" applyBorder="1" applyAlignment="1">
      <alignment horizontal="center" vertical="center"/>
    </xf>
    <xf numFmtId="3" fontId="60" fillId="6" borderId="5" xfId="2" applyNumberFormat="1" applyFont="1" applyFill="1" applyBorder="1" applyAlignment="1">
      <alignment horizontal="left" vertical="center" indent="2"/>
    </xf>
    <xf numFmtId="3" fontId="41" fillId="6" borderId="5" xfId="0" applyNumberFormat="1" applyFont="1" applyFill="1" applyBorder="1" applyAlignment="1">
      <alignment horizontal="center" vertical="center" wrapText="1"/>
    </xf>
    <xf numFmtId="4" fontId="19" fillId="6" borderId="5" xfId="2" applyNumberFormat="1" applyFont="1" applyFill="1" applyBorder="1" applyAlignment="1">
      <alignment horizontal="right" vertical="center"/>
    </xf>
    <xf numFmtId="3" fontId="10" fillId="3" borderId="13" xfId="2" applyNumberFormat="1" applyFont="1" applyFill="1" applyBorder="1" applyAlignment="1">
      <alignment horizontal="center" vertical="center"/>
    </xf>
    <xf numFmtId="1" fontId="58" fillId="3" borderId="6" xfId="2" applyNumberFormat="1" applyFont="1" applyFill="1" applyBorder="1" applyAlignment="1">
      <alignment horizontal="center" vertical="center" wrapText="1"/>
    </xf>
    <xf numFmtId="3" fontId="61" fillId="3" borderId="9" xfId="2" applyNumberFormat="1" applyFont="1" applyFill="1" applyBorder="1" applyAlignment="1">
      <alignment horizontal="left" vertical="center"/>
    </xf>
    <xf numFmtId="3" fontId="19" fillId="3" borderId="9" xfId="2" applyNumberFormat="1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center" vertical="center" wrapText="1"/>
    </xf>
    <xf numFmtId="3" fontId="70" fillId="3" borderId="9" xfId="0" applyNumberFormat="1" applyFont="1" applyFill="1" applyBorder="1" applyAlignment="1">
      <alignment horizontal="center" vertical="center" wrapText="1"/>
    </xf>
    <xf numFmtId="4" fontId="19" fillId="3" borderId="19" xfId="2" applyNumberFormat="1" applyFont="1" applyFill="1" applyBorder="1" applyAlignment="1">
      <alignment horizontal="right" vertical="center"/>
    </xf>
    <xf numFmtId="3" fontId="10" fillId="3" borderId="15" xfId="2" applyNumberFormat="1" applyFont="1" applyFill="1" applyBorder="1" applyAlignment="1">
      <alignment horizontal="center" vertical="center"/>
    </xf>
    <xf numFmtId="1" fontId="58" fillId="3" borderId="91" xfId="2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 wrapText="1"/>
    </xf>
    <xf numFmtId="3" fontId="41" fillId="3" borderId="15" xfId="0" applyNumberFormat="1" applyFont="1" applyFill="1" applyBorder="1" applyAlignment="1">
      <alignment horizontal="center" vertical="center" wrapText="1"/>
    </xf>
    <xf numFmtId="1" fontId="58" fillId="3" borderId="94" xfId="2" applyNumberFormat="1" applyFont="1" applyFill="1" applyBorder="1" applyAlignment="1">
      <alignment horizontal="center" vertical="center" wrapText="1"/>
    </xf>
    <xf numFmtId="1" fontId="58" fillId="3" borderId="33" xfId="2" applyNumberFormat="1" applyFont="1" applyFill="1" applyBorder="1" applyAlignment="1">
      <alignment horizontal="center" vertical="center" wrapText="1"/>
    </xf>
    <xf numFmtId="3" fontId="33" fillId="3" borderId="15" xfId="2" applyNumberFormat="1" applyFont="1" applyFill="1" applyBorder="1" applyAlignment="1">
      <alignment horizontal="left" vertical="center" indent="1"/>
    </xf>
    <xf numFmtId="3" fontId="61" fillId="3" borderId="13" xfId="2" applyNumberFormat="1" applyFont="1" applyFill="1" applyBorder="1" applyAlignment="1">
      <alignment horizontal="center" vertical="center" wrapText="1"/>
    </xf>
    <xf numFmtId="3" fontId="41" fillId="3" borderId="13" xfId="0" applyNumberFormat="1" applyFont="1" applyFill="1" applyBorder="1" applyAlignment="1">
      <alignment horizontal="center" vertical="center" wrapText="1"/>
    </xf>
    <xf numFmtId="3" fontId="33" fillId="3" borderId="13" xfId="2" applyNumberFormat="1" applyFont="1" applyFill="1" applyBorder="1" applyAlignment="1">
      <alignment horizontal="left" vertical="center" indent="1"/>
    </xf>
    <xf numFmtId="3" fontId="61" fillId="3" borderId="15" xfId="2" applyNumberFormat="1" applyFont="1" applyFill="1" applyBorder="1" applyAlignment="1">
      <alignment horizontal="center" vertical="center"/>
    </xf>
    <xf numFmtId="3" fontId="61" fillId="3" borderId="15" xfId="2" applyNumberFormat="1" applyFont="1" applyFill="1" applyBorder="1" applyAlignment="1">
      <alignment horizontal="center" vertical="center" wrapText="1"/>
    </xf>
    <xf numFmtId="3" fontId="10" fillId="3" borderId="13" xfId="2" applyNumberFormat="1" applyFont="1" applyFill="1" applyBorder="1" applyAlignment="1">
      <alignment horizontal="left" vertical="center" wrapText="1"/>
    </xf>
    <xf numFmtId="4" fontId="19" fillId="3" borderId="20" xfId="2" applyNumberFormat="1" applyFont="1" applyFill="1" applyBorder="1" applyAlignment="1">
      <alignment horizontal="right" vertical="center"/>
    </xf>
    <xf numFmtId="3" fontId="10" fillId="3" borderId="14" xfId="2" applyNumberFormat="1" applyFont="1" applyFill="1" applyBorder="1" applyAlignment="1">
      <alignment horizontal="center" vertical="center"/>
    </xf>
    <xf numFmtId="3" fontId="18" fillId="3" borderId="15" xfId="2" applyNumberFormat="1" applyFont="1" applyFill="1" applyBorder="1" applyAlignment="1">
      <alignment horizontal="left" vertical="center" indent="1"/>
    </xf>
    <xf numFmtId="4" fontId="19" fillId="3" borderId="88" xfId="2" applyNumberFormat="1" applyFont="1" applyFill="1" applyBorder="1" applyAlignment="1">
      <alignment horizontal="right" vertical="center"/>
    </xf>
    <xf numFmtId="3" fontId="19" fillId="5" borderId="120" xfId="2" applyNumberFormat="1" applyFont="1" applyFill="1" applyBorder="1" applyAlignment="1">
      <alignment horizontal="right" vertical="center"/>
    </xf>
    <xf numFmtId="4" fontId="19" fillId="5" borderId="83" xfId="2" applyNumberFormat="1" applyFont="1" applyFill="1" applyBorder="1" applyAlignment="1">
      <alignment horizontal="right" vertical="center"/>
    </xf>
    <xf numFmtId="4" fontId="60" fillId="5" borderId="83" xfId="2" applyNumberFormat="1" applyFont="1" applyFill="1" applyBorder="1" applyAlignment="1">
      <alignment horizontal="right" vertical="center"/>
    </xf>
    <xf numFmtId="3" fontId="60" fillId="5" borderId="99" xfId="2" applyNumberFormat="1" applyFont="1" applyFill="1" applyBorder="1" applyAlignment="1">
      <alignment horizontal="right" vertical="center"/>
    </xf>
    <xf numFmtId="3" fontId="60" fillId="5" borderId="110" xfId="2" applyNumberFormat="1" applyFont="1" applyFill="1" applyBorder="1" applyAlignment="1">
      <alignment horizontal="right" vertical="center"/>
    </xf>
    <xf numFmtId="4" fontId="60" fillId="5" borderId="35" xfId="2" applyNumberFormat="1" applyFont="1" applyFill="1" applyBorder="1" applyAlignment="1">
      <alignment horizontal="right" vertical="center"/>
    </xf>
    <xf numFmtId="3" fontId="60" fillId="5" borderId="117" xfId="2" applyNumberFormat="1" applyFont="1" applyFill="1" applyBorder="1" applyAlignment="1">
      <alignment horizontal="right" vertical="center"/>
    </xf>
    <xf numFmtId="3" fontId="60" fillId="5" borderId="18" xfId="2" applyNumberFormat="1" applyFont="1" applyFill="1" applyBorder="1" applyAlignment="1">
      <alignment horizontal="right" vertical="center"/>
    </xf>
    <xf numFmtId="3" fontId="61" fillId="5" borderId="117" xfId="2" applyNumberFormat="1" applyFont="1" applyFill="1" applyBorder="1" applyAlignment="1">
      <alignment horizontal="right" vertical="center"/>
    </xf>
    <xf numFmtId="3" fontId="58" fillId="4" borderId="22" xfId="2" applyNumberFormat="1" applyFont="1" applyFill="1" applyBorder="1" applyAlignment="1">
      <alignment vertical="center"/>
    </xf>
    <xf numFmtId="3" fontId="58" fillId="4" borderId="7" xfId="2" applyNumberFormat="1" applyFont="1" applyFill="1" applyBorder="1" applyAlignment="1">
      <alignment vertical="center"/>
    </xf>
    <xf numFmtId="3" fontId="60" fillId="4" borderId="10" xfId="2" applyNumberFormat="1" applyFont="1" applyFill="1" applyBorder="1" applyAlignment="1">
      <alignment horizontal="right" vertical="center"/>
    </xf>
    <xf numFmtId="3" fontId="60" fillId="4" borderId="9" xfId="2" applyNumberFormat="1" applyFont="1" applyFill="1" applyBorder="1" applyAlignment="1">
      <alignment horizontal="right" vertical="center"/>
    </xf>
    <xf numFmtId="3" fontId="61" fillId="4" borderId="9" xfId="2" applyNumberFormat="1" applyFont="1" applyFill="1" applyBorder="1" applyAlignment="1">
      <alignment horizontal="right" vertical="center"/>
    </xf>
    <xf numFmtId="4" fontId="60" fillId="4" borderId="20" xfId="2" applyNumberFormat="1" applyFont="1" applyFill="1" applyBorder="1" applyAlignment="1">
      <alignment horizontal="right" vertical="center"/>
    </xf>
    <xf numFmtId="3" fontId="57" fillId="9" borderId="10" xfId="2" applyNumberFormat="1" applyFont="1" applyFill="1" applyBorder="1" applyAlignment="1">
      <alignment vertical="center"/>
    </xf>
    <xf numFmtId="1" fontId="57" fillId="9" borderId="10" xfId="2" applyNumberFormat="1" applyFont="1" applyFill="1" applyBorder="1" applyAlignment="1">
      <alignment horizontal="right" vertical="center"/>
    </xf>
    <xf numFmtId="3" fontId="19" fillId="9" borderId="10" xfId="3" applyNumberFormat="1" applyFont="1" applyFill="1" applyBorder="1" applyAlignment="1">
      <alignment vertical="center" shrinkToFit="1"/>
    </xf>
    <xf numFmtId="3" fontId="19" fillId="9" borderId="12" xfId="2" applyNumberFormat="1" applyFont="1" applyFill="1" applyBorder="1" applyAlignment="1">
      <alignment horizontal="right" vertical="center"/>
    </xf>
    <xf numFmtId="3" fontId="19" fillId="9" borderId="12" xfId="2" applyNumberFormat="1" applyFont="1" applyFill="1" applyBorder="1" applyAlignment="1">
      <alignment vertical="center"/>
    </xf>
    <xf numFmtId="4" fontId="19" fillId="9" borderId="87" xfId="2" applyNumberFormat="1" applyFont="1" applyFill="1" applyBorder="1" applyAlignment="1">
      <alignment horizontal="right" vertical="center"/>
    </xf>
    <xf numFmtId="3" fontId="60" fillId="9" borderId="15" xfId="2" applyNumberFormat="1" applyFont="1" applyFill="1" applyBorder="1" applyAlignment="1">
      <alignment horizontal="left"/>
    </xf>
    <xf numFmtId="3" fontId="19" fillId="9" borderId="13" xfId="2" applyNumberFormat="1" applyFont="1" applyFill="1" applyBorder="1" applyAlignment="1">
      <alignment horizontal="right" vertical="center"/>
    </xf>
    <xf numFmtId="3" fontId="19" fillId="9" borderId="10" xfId="2" applyNumberFormat="1" applyFont="1" applyFill="1" applyBorder="1" applyAlignment="1">
      <alignment horizontal="right" vertical="center"/>
    </xf>
    <xf numFmtId="3" fontId="19" fillId="9" borderId="13" xfId="2" applyNumberFormat="1" applyFont="1" applyFill="1" applyBorder="1" applyAlignment="1">
      <alignment vertical="center"/>
    </xf>
    <xf numFmtId="4" fontId="19" fillId="9" borderId="82" xfId="2" applyNumberFormat="1" applyFont="1" applyFill="1" applyBorder="1" applyAlignment="1">
      <alignment horizontal="right" vertical="center"/>
    </xf>
    <xf numFmtId="3" fontId="57" fillId="9" borderId="15" xfId="2" applyNumberFormat="1" applyFont="1" applyFill="1" applyBorder="1" applyAlignment="1">
      <alignment vertical="center"/>
    </xf>
    <xf numFmtId="1" fontId="57" fillId="9" borderId="16" xfId="2" applyNumberFormat="1" applyFont="1" applyFill="1" applyBorder="1" applyAlignment="1">
      <alignment horizontal="right" vertical="center"/>
    </xf>
    <xf numFmtId="3" fontId="60" fillId="9" borderId="16" xfId="2" applyNumberFormat="1" applyFont="1" applyFill="1" applyBorder="1" applyAlignment="1">
      <alignment horizontal="left"/>
    </xf>
    <xf numFmtId="3" fontId="19" fillId="9" borderId="16" xfId="2" applyNumberFormat="1" applyFont="1" applyFill="1" applyBorder="1" applyAlignment="1">
      <alignment horizontal="right" vertical="center"/>
    </xf>
    <xf numFmtId="3" fontId="19" fillId="9" borderId="9" xfId="2" applyNumberFormat="1" applyFont="1" applyFill="1" applyBorder="1" applyAlignment="1">
      <alignment horizontal="right" vertical="center"/>
    </xf>
    <xf numFmtId="3" fontId="19" fillId="9" borderId="9" xfId="2" applyNumberFormat="1" applyFont="1" applyFill="1" applyBorder="1" applyAlignment="1">
      <alignment vertical="center"/>
    </xf>
    <xf numFmtId="4" fontId="19" fillId="9" borderId="86" xfId="2" applyNumberFormat="1" applyFont="1" applyFill="1" applyBorder="1" applyAlignment="1">
      <alignment horizontal="right" vertical="center"/>
    </xf>
    <xf numFmtId="3" fontId="57" fillId="0" borderId="90" xfId="2" applyNumberFormat="1" applyFont="1" applyFill="1" applyBorder="1" applyAlignment="1">
      <alignment vertical="center"/>
    </xf>
    <xf numFmtId="3" fontId="19" fillId="0" borderId="77" xfId="2" applyNumberFormat="1" applyFont="1" applyFill="1" applyBorder="1" applyAlignment="1">
      <alignment horizontal="left"/>
    </xf>
    <xf numFmtId="3" fontId="19" fillId="0" borderId="77" xfId="2" applyNumberFormat="1" applyFont="1" applyFill="1" applyBorder="1" applyAlignment="1">
      <alignment horizontal="right" vertical="center"/>
    </xf>
    <xf numFmtId="3" fontId="19" fillId="0" borderId="77" xfId="2" applyNumberFormat="1" applyFont="1" applyFill="1" applyBorder="1" applyAlignment="1">
      <alignment vertical="center"/>
    </xf>
    <xf numFmtId="4" fontId="19" fillId="0" borderId="78" xfId="2" applyNumberFormat="1" applyFont="1" applyFill="1" applyBorder="1" applyAlignment="1">
      <alignment horizontal="right" vertical="center"/>
    </xf>
    <xf numFmtId="3" fontId="57" fillId="0" borderId="13" xfId="2" applyNumberFormat="1" applyFont="1" applyFill="1" applyBorder="1" applyAlignment="1">
      <alignment vertical="center"/>
    </xf>
    <xf numFmtId="1" fontId="65" fillId="0" borderId="13" xfId="2" applyNumberFormat="1" applyFont="1" applyFill="1" applyBorder="1" applyAlignment="1">
      <alignment horizontal="right" vertical="center"/>
    </xf>
    <xf numFmtId="3" fontId="60" fillId="3" borderId="13" xfId="2" applyNumberFormat="1" applyFont="1" applyFill="1" applyBorder="1" applyAlignment="1">
      <alignment horizontal="left"/>
    </xf>
    <xf numFmtId="3" fontId="18" fillId="0" borderId="13" xfId="2" applyNumberFormat="1" applyFont="1" applyFill="1" applyBorder="1" applyAlignment="1">
      <alignment horizontal="right" vertical="center"/>
    </xf>
    <xf numFmtId="4" fontId="19" fillId="0" borderId="82" xfId="2" applyNumberFormat="1" applyFont="1" applyFill="1" applyBorder="1" applyAlignment="1">
      <alignment horizontal="right" vertical="center"/>
    </xf>
    <xf numFmtId="1" fontId="65" fillId="0" borderId="15" xfId="2" applyNumberFormat="1" applyFont="1" applyFill="1" applyBorder="1" applyAlignment="1">
      <alignment horizontal="right" vertical="center"/>
    </xf>
    <xf numFmtId="3" fontId="60" fillId="0" borderId="15" xfId="2" applyNumberFormat="1" applyFont="1" applyFill="1" applyBorder="1" applyAlignment="1">
      <alignment horizontal="left"/>
    </xf>
    <xf numFmtId="3" fontId="60" fillId="0" borderId="15" xfId="2" applyNumberFormat="1" applyFont="1" applyFill="1" applyBorder="1" applyAlignment="1">
      <alignment horizontal="right" vertical="center"/>
    </xf>
    <xf numFmtId="3" fontId="18" fillId="0" borderId="15" xfId="2" applyNumberFormat="1" applyFont="1" applyFill="1" applyBorder="1" applyAlignment="1">
      <alignment horizontal="right" vertical="center"/>
    </xf>
    <xf numFmtId="4" fontId="19" fillId="0" borderId="85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left"/>
    </xf>
    <xf numFmtId="3" fontId="19" fillId="3" borderId="77" xfId="2" applyNumberFormat="1" applyFont="1" applyFill="1" applyBorder="1" applyAlignment="1">
      <alignment vertical="center" wrapText="1"/>
    </xf>
    <xf numFmtId="1" fontId="57" fillId="3" borderId="75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horizontal="left"/>
    </xf>
    <xf numFmtId="3" fontId="47" fillId="3" borderId="77" xfId="2" applyNumberFormat="1" applyFont="1" applyFill="1" applyBorder="1" applyAlignment="1">
      <alignment vertical="center" shrinkToFit="1"/>
    </xf>
    <xf numFmtId="1" fontId="57" fillId="0" borderId="17" xfId="2" applyNumberFormat="1" applyFont="1" applyFill="1" applyBorder="1" applyAlignment="1">
      <alignment horizontal="right" vertical="center"/>
    </xf>
    <xf numFmtId="3" fontId="19" fillId="3" borderId="76" xfId="2" applyNumberFormat="1" applyFont="1" applyFill="1" applyBorder="1" applyAlignment="1">
      <alignment horizontal="left" wrapText="1"/>
    </xf>
    <xf numFmtId="1" fontId="57" fillId="3" borderId="111" xfId="2" applyNumberFormat="1" applyFont="1" applyFill="1" applyBorder="1" applyAlignment="1">
      <alignment horizontal="right" vertical="center"/>
    </xf>
    <xf numFmtId="3" fontId="19" fillId="3" borderId="75" xfId="3" applyNumberFormat="1" applyFont="1" applyFill="1" applyBorder="1" applyAlignment="1">
      <alignment vertical="center"/>
    </xf>
    <xf numFmtId="1" fontId="57" fillId="9" borderId="74" xfId="2" applyNumberFormat="1" applyFont="1" applyFill="1" applyBorder="1" applyAlignment="1">
      <alignment horizontal="right" vertical="center"/>
    </xf>
    <xf numFmtId="3" fontId="19" fillId="9" borderId="5" xfId="2" applyNumberFormat="1" applyFont="1" applyFill="1" applyBorder="1" applyAlignment="1">
      <alignment horizontal="left"/>
    </xf>
    <xf numFmtId="3" fontId="18" fillId="9" borderId="5" xfId="2" applyNumberFormat="1" applyFont="1" applyFill="1" applyBorder="1" applyAlignment="1">
      <alignment horizontal="right" vertical="center"/>
    </xf>
    <xf numFmtId="3" fontId="19" fillId="9" borderId="5" xfId="2" applyNumberFormat="1" applyFont="1" applyFill="1" applyBorder="1" applyAlignment="1">
      <alignment horizontal="right" vertical="center"/>
    </xf>
    <xf numFmtId="3" fontId="19" fillId="9" borderId="5" xfId="2" applyNumberFormat="1" applyFont="1" applyFill="1" applyBorder="1" applyAlignment="1">
      <alignment vertical="center"/>
    </xf>
    <xf numFmtId="4" fontId="19" fillId="9" borderId="21" xfId="2" applyNumberFormat="1" applyFont="1" applyFill="1" applyBorder="1" applyAlignment="1">
      <alignment horizontal="right" vertical="center"/>
    </xf>
    <xf numFmtId="0" fontId="60" fillId="3" borderId="13" xfId="0" applyFont="1" applyFill="1" applyBorder="1"/>
    <xf numFmtId="0" fontId="18" fillId="0" borderId="15" xfId="0" applyFont="1" applyBorder="1"/>
    <xf numFmtId="0" fontId="23" fillId="0" borderId="1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1" fontId="57" fillId="9" borderId="12" xfId="2" applyNumberFormat="1" applyFont="1" applyFill="1" applyBorder="1" applyAlignment="1">
      <alignment horizontal="right" vertical="center"/>
    </xf>
    <xf numFmtId="3" fontId="19" fillId="9" borderId="13" xfId="2" applyNumberFormat="1" applyFont="1" applyFill="1" applyBorder="1" applyAlignment="1">
      <alignment horizontal="left" wrapText="1"/>
    </xf>
    <xf numFmtId="1" fontId="57" fillId="9" borderId="13" xfId="2" applyNumberFormat="1" applyFont="1" applyFill="1" applyBorder="1" applyAlignment="1">
      <alignment horizontal="right" vertical="center"/>
    </xf>
    <xf numFmtId="3" fontId="60" fillId="9" borderId="13" xfId="2" applyNumberFormat="1" applyFont="1" applyFill="1" applyBorder="1" applyAlignment="1">
      <alignment horizontal="left" vertical="center" indent="2"/>
    </xf>
    <xf numFmtId="3" fontId="19" fillId="9" borderId="15" xfId="2" applyNumberFormat="1" applyFont="1" applyFill="1" applyBorder="1" applyAlignment="1">
      <alignment horizontal="right" vertical="center"/>
    </xf>
    <xf numFmtId="3" fontId="19" fillId="9" borderId="15" xfId="2" applyNumberFormat="1" applyFont="1" applyFill="1" applyBorder="1" applyAlignment="1">
      <alignment vertical="center"/>
    </xf>
    <xf numFmtId="1" fontId="57" fillId="3" borderId="14" xfId="2" applyNumberFormat="1" applyFont="1" applyFill="1" applyBorder="1" applyAlignment="1">
      <alignment horizontal="right" vertical="center"/>
    </xf>
    <xf numFmtId="3" fontId="18" fillId="3" borderId="14" xfId="2" applyNumberFormat="1" applyFont="1" applyFill="1" applyBorder="1" applyAlignment="1">
      <alignment horizontal="left" wrapText="1"/>
    </xf>
    <xf numFmtId="3" fontId="18" fillId="3" borderId="14" xfId="2" applyNumberFormat="1" applyFont="1" applyFill="1" applyBorder="1" applyAlignment="1">
      <alignment horizontal="right" vertical="center"/>
    </xf>
    <xf numFmtId="3" fontId="18" fillId="3" borderId="14" xfId="2" applyNumberFormat="1" applyFont="1" applyFill="1" applyBorder="1" applyAlignment="1">
      <alignment vertical="center"/>
    </xf>
    <xf numFmtId="3" fontId="19" fillId="3" borderId="14" xfId="2" applyNumberFormat="1" applyFont="1" applyFill="1" applyBorder="1" applyAlignment="1">
      <alignment vertical="center"/>
    </xf>
    <xf numFmtId="1" fontId="58" fillId="9" borderId="13" xfId="2" applyNumberFormat="1" applyFont="1" applyFill="1" applyBorder="1" applyAlignment="1">
      <alignment horizontal="right" vertical="center"/>
    </xf>
    <xf numFmtId="3" fontId="19" fillId="9" borderId="13" xfId="2" applyNumberFormat="1" applyFont="1" applyFill="1" applyBorder="1" applyAlignment="1">
      <alignment horizontal="left"/>
    </xf>
    <xf numFmtId="2" fontId="19" fillId="9" borderId="82" xfId="2" applyNumberFormat="1" applyFont="1" applyFill="1" applyBorder="1" applyAlignment="1">
      <alignment horizontal="right" vertical="center"/>
    </xf>
    <xf numFmtId="1" fontId="57" fillId="3" borderId="16" xfId="2" applyNumberFormat="1" applyFont="1" applyFill="1" applyBorder="1" applyAlignment="1">
      <alignment horizontal="right" vertical="center"/>
    </xf>
    <xf numFmtId="3" fontId="19" fillId="3" borderId="99" xfId="2" applyNumberFormat="1" applyFont="1" applyFill="1" applyBorder="1" applyAlignment="1">
      <alignment horizontal="left" wrapText="1"/>
    </xf>
    <xf numFmtId="3" fontId="19" fillId="3" borderId="99" xfId="2" applyNumberFormat="1" applyFont="1" applyFill="1" applyBorder="1" applyAlignment="1">
      <alignment horizontal="left"/>
    </xf>
    <xf numFmtId="3" fontId="24" fillId="9" borderId="15" xfId="0" applyNumberFormat="1" applyFont="1" applyFill="1" applyBorder="1" applyAlignment="1">
      <alignment horizontal="right" vertical="center"/>
    </xf>
    <xf numFmtId="3" fontId="23" fillId="9" borderId="15" xfId="0" applyNumberFormat="1" applyFont="1" applyFill="1" applyBorder="1" applyAlignment="1">
      <alignment horizontal="right" vertical="center"/>
    </xf>
    <xf numFmtId="3" fontId="27" fillId="9" borderId="15" xfId="2" applyNumberFormat="1" applyFont="1" applyFill="1" applyBorder="1" applyAlignment="1">
      <alignment horizontal="left" vertical="center" indent="2"/>
    </xf>
    <xf numFmtId="3" fontId="60" fillId="9" borderId="15" xfId="2" applyNumberFormat="1" applyFont="1" applyFill="1" applyBorder="1" applyAlignment="1">
      <alignment horizontal="left" vertical="center" indent="2"/>
    </xf>
    <xf numFmtId="3" fontId="21" fillId="7" borderId="15" xfId="0" applyNumberFormat="1" applyFont="1" applyFill="1" applyBorder="1" applyAlignment="1">
      <alignment horizontal="center" vertical="center"/>
    </xf>
    <xf numFmtId="3" fontId="34" fillId="7" borderId="15" xfId="0" applyNumberFormat="1" applyFont="1" applyFill="1" applyBorder="1" applyAlignment="1">
      <alignment horizontal="center" vertical="center"/>
    </xf>
    <xf numFmtId="3" fontId="34" fillId="7" borderId="15" xfId="0" applyNumberFormat="1" applyFont="1" applyFill="1" applyBorder="1" applyAlignment="1">
      <alignment vertical="center" wrapText="1"/>
    </xf>
    <xf numFmtId="3" fontId="23" fillId="7" borderId="15" xfId="0" applyNumberFormat="1" applyFont="1" applyFill="1" applyBorder="1" applyAlignment="1">
      <alignment horizontal="right" vertical="center"/>
    </xf>
    <xf numFmtId="3" fontId="27" fillId="7" borderId="15" xfId="2" applyNumberFormat="1" applyFont="1" applyFill="1" applyBorder="1" applyAlignment="1">
      <alignment horizontal="left" vertical="center" indent="2"/>
    </xf>
    <xf numFmtId="3" fontId="60" fillId="7" borderId="15" xfId="2" applyNumberFormat="1" applyFont="1" applyFill="1" applyBorder="1" applyAlignment="1">
      <alignment horizontal="left" vertical="center" indent="2"/>
    </xf>
    <xf numFmtId="3" fontId="29" fillId="3" borderId="1" xfId="0" applyNumberFormat="1" applyFont="1" applyFill="1" applyBorder="1" applyAlignment="1">
      <alignment horizontal="center" vertical="center"/>
    </xf>
    <xf numFmtId="3" fontId="29" fillId="3" borderId="16" xfId="0" applyNumberFormat="1" applyFont="1" applyFill="1" applyBorder="1" applyAlignment="1">
      <alignment horizontal="center" vertical="center"/>
    </xf>
    <xf numFmtId="3" fontId="21" fillId="9" borderId="15" xfId="0" applyNumberFormat="1" applyFont="1" applyFill="1" applyBorder="1" applyAlignment="1">
      <alignment horizontal="left" vertical="center"/>
    </xf>
    <xf numFmtId="49" fontId="12" fillId="3" borderId="15" xfId="0" applyNumberFormat="1" applyFont="1" applyFill="1" applyBorder="1" applyAlignment="1">
      <alignment horizontal="center" vertical="center"/>
    </xf>
    <xf numFmtId="3" fontId="29" fillId="3" borderId="15" xfId="0" applyNumberFormat="1" applyFont="1" applyFill="1" applyBorder="1" applyAlignment="1">
      <alignment horizontal="center" vertical="center"/>
    </xf>
    <xf numFmtId="3" fontId="71" fillId="3" borderId="15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horizontal="left" vertical="center"/>
    </xf>
    <xf numFmtId="3" fontId="23" fillId="3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vertical="center"/>
    </xf>
    <xf numFmtId="3" fontId="34" fillId="7" borderId="15" xfId="0" applyNumberFormat="1" applyFont="1" applyFill="1" applyBorder="1" applyAlignment="1">
      <alignment vertical="center"/>
    </xf>
    <xf numFmtId="3" fontId="24" fillId="7" borderId="15" xfId="0" applyNumberFormat="1" applyFont="1" applyFill="1" applyBorder="1" applyAlignment="1">
      <alignment horizontal="right" vertical="center"/>
    </xf>
    <xf numFmtId="3" fontId="29" fillId="9" borderId="15" xfId="0" applyNumberFormat="1" applyFont="1" applyFill="1" applyBorder="1" applyAlignment="1">
      <alignment horizontal="center" vertical="center"/>
    </xf>
    <xf numFmtId="3" fontId="28" fillId="9" borderId="15" xfId="0" applyNumberFormat="1" applyFont="1" applyFill="1" applyBorder="1" applyAlignment="1">
      <alignment horizontal="center" vertical="center"/>
    </xf>
    <xf numFmtId="3" fontId="71" fillId="9" borderId="15" xfId="0" applyNumberFormat="1" applyFont="1" applyFill="1" applyBorder="1" applyAlignment="1">
      <alignment vertical="center"/>
    </xf>
    <xf numFmtId="3" fontId="71" fillId="9" borderId="15" xfId="0" applyNumberFormat="1" applyFont="1" applyFill="1" applyBorder="1" applyAlignment="1">
      <alignment horizontal="left" vertical="center"/>
    </xf>
    <xf numFmtId="3" fontId="71" fillId="9" borderId="15" xfId="0" applyNumberFormat="1" applyFont="1" applyFill="1" applyBorder="1" applyAlignment="1">
      <alignment horizontal="center" vertical="center"/>
    </xf>
    <xf numFmtId="3" fontId="14" fillId="9" borderId="15" xfId="0" applyNumberFormat="1" applyFont="1" applyFill="1" applyBorder="1" applyAlignment="1">
      <alignment horizontal="center" vertical="center"/>
    </xf>
    <xf numFmtId="3" fontId="12" fillId="9" borderId="15" xfId="0" applyNumberFormat="1" applyFont="1" applyFill="1" applyBorder="1" applyAlignment="1">
      <alignment horizontal="center" vertical="center"/>
    </xf>
    <xf numFmtId="3" fontId="68" fillId="3" borderId="15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24" fillId="3" borderId="15" xfId="0" quotePrefix="1" applyNumberFormat="1" applyFont="1" applyFill="1" applyBorder="1" applyAlignment="1">
      <alignment horizontal="left" vertical="center" indent="1"/>
    </xf>
    <xf numFmtId="3" fontId="67" fillId="3" borderId="15" xfId="0" applyNumberFormat="1" applyFont="1" applyFill="1" applyBorder="1" applyAlignment="1">
      <alignment horizontal="center" vertical="center"/>
    </xf>
    <xf numFmtId="3" fontId="28" fillId="3" borderId="15" xfId="0" applyNumberFormat="1" applyFont="1" applyFill="1" applyBorder="1" applyAlignment="1">
      <alignment horizontal="center" vertical="center"/>
    </xf>
    <xf numFmtId="3" fontId="30" fillId="3" borderId="15" xfId="0" quotePrefix="1" applyNumberFormat="1" applyFont="1" applyFill="1" applyBorder="1" applyAlignment="1">
      <alignment horizontal="left" vertical="center" indent="2"/>
    </xf>
    <xf numFmtId="3" fontId="30" fillId="3" borderId="15" xfId="0" applyNumberFormat="1" applyFont="1" applyFill="1" applyBorder="1" applyAlignment="1">
      <alignment horizontal="right" vertical="center"/>
    </xf>
    <xf numFmtId="3" fontId="28" fillId="3" borderId="15" xfId="0" quotePrefix="1" applyNumberFormat="1" applyFont="1" applyFill="1" applyBorder="1" applyAlignment="1">
      <alignment horizontal="left" vertical="center" indent="2"/>
    </xf>
    <xf numFmtId="3" fontId="27" fillId="0" borderId="15" xfId="0" applyNumberFormat="1" applyFont="1" applyFill="1" applyBorder="1" applyAlignment="1">
      <alignment vertical="center"/>
    </xf>
    <xf numFmtId="3" fontId="30" fillId="3" borderId="15" xfId="0" applyNumberFormat="1" applyFont="1" applyFill="1" applyBorder="1" applyAlignment="1">
      <alignment horizontal="left" vertical="center" indent="1"/>
    </xf>
    <xf numFmtId="0" fontId="30" fillId="0" borderId="15" xfId="0" applyFont="1" applyBorder="1"/>
    <xf numFmtId="3" fontId="23" fillId="3" borderId="15" xfId="0" quotePrefix="1" applyNumberFormat="1" applyFont="1" applyFill="1" applyBorder="1" applyAlignment="1">
      <alignment horizontal="left" vertical="center" indent="1"/>
    </xf>
    <xf numFmtId="3" fontId="21" fillId="3" borderId="15" xfId="0" applyNumberFormat="1" applyFont="1" applyFill="1" applyBorder="1" applyAlignment="1">
      <alignment horizontal="left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left" vertical="center"/>
    </xf>
    <xf numFmtId="3" fontId="21" fillId="9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vertical="center" wrapText="1"/>
    </xf>
    <xf numFmtId="3" fontId="23" fillId="3" borderId="15" xfId="3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left" vertical="center"/>
    </xf>
    <xf numFmtId="3" fontId="24" fillId="3" borderId="15" xfId="0" applyNumberFormat="1" applyFont="1" applyFill="1" applyBorder="1" applyAlignment="1">
      <alignment horizontal="left" vertical="center"/>
    </xf>
    <xf numFmtId="3" fontId="21" fillId="3" borderId="1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 shrinkToFit="1"/>
    </xf>
    <xf numFmtId="3" fontId="71" fillId="3" borderId="15" xfId="2" applyNumberFormat="1" applyFont="1" applyFill="1" applyBorder="1" applyAlignment="1">
      <alignment horizontal="center" vertical="center"/>
    </xf>
    <xf numFmtId="3" fontId="71" fillId="3" borderId="15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vertical="center"/>
    </xf>
    <xf numFmtId="3" fontId="12" fillId="3" borderId="17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vertical="center"/>
    </xf>
    <xf numFmtId="3" fontId="34" fillId="3" borderId="15" xfId="0" applyNumberFormat="1" applyFont="1" applyFill="1" applyBorder="1" applyAlignment="1">
      <alignment horizontal="left" vertical="center" wrapText="1"/>
    </xf>
    <xf numFmtId="3" fontId="34" fillId="3" borderId="15" xfId="0" applyNumberFormat="1" applyFont="1" applyFill="1" applyBorder="1" applyAlignment="1">
      <alignment vertical="center" wrapText="1"/>
    </xf>
    <xf numFmtId="3" fontId="71" fillId="9" borderId="15" xfId="0" applyNumberFormat="1" applyFont="1" applyFill="1" applyBorder="1" applyAlignment="1">
      <alignment horizontal="right" vertical="center"/>
    </xf>
    <xf numFmtId="3" fontId="68" fillId="9" borderId="15" xfId="0" applyNumberFormat="1" applyFont="1" applyFill="1" applyBorder="1" applyAlignment="1">
      <alignment horizontal="center" vertical="center"/>
    </xf>
    <xf numFmtId="3" fontId="68" fillId="9" borderId="15" xfId="0" applyNumberFormat="1" applyFont="1" applyFill="1" applyBorder="1" applyAlignment="1">
      <alignment horizontal="left" vertical="center"/>
    </xf>
    <xf numFmtId="3" fontId="68" fillId="9" borderId="15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horizontal="right" vertical="center"/>
    </xf>
    <xf numFmtId="0" fontId="24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left" vertical="center" wrapText="1"/>
    </xf>
    <xf numFmtId="3" fontId="30" fillId="4" borderId="15" xfId="0" applyNumberFormat="1" applyFont="1" applyFill="1" applyBorder="1" applyAlignment="1">
      <alignment horizontal="right" vertical="center"/>
    </xf>
    <xf numFmtId="0" fontId="24" fillId="0" borderId="109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1" fontId="21" fillId="0" borderId="94" xfId="2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24" fillId="0" borderId="15" xfId="0" quotePrefix="1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4" fillId="0" borderId="85" xfId="0" applyNumberFormat="1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 indent="1"/>
    </xf>
    <xf numFmtId="3" fontId="23" fillId="0" borderId="94" xfId="0" applyNumberFormat="1" applyFont="1" applyBorder="1" applyAlignment="1">
      <alignment horizontal="center" vertical="center" wrapText="1"/>
    </xf>
    <xf numFmtId="3" fontId="23" fillId="3" borderId="15" xfId="0" applyNumberFormat="1" applyFont="1" applyFill="1" applyBorder="1" applyAlignment="1">
      <alignment horizontal="center" vertical="center" wrapText="1"/>
    </xf>
    <xf numFmtId="3" fontId="24" fillId="0" borderId="94" xfId="0" applyNumberFormat="1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3" borderId="94" xfId="0" applyNumberFormat="1" applyFont="1" applyFill="1" applyBorder="1" applyAlignment="1">
      <alignment vertical="center" wrapText="1"/>
    </xf>
    <xf numFmtId="3" fontId="14" fillId="0" borderId="85" xfId="0" applyNumberFormat="1" applyFont="1" applyBorder="1" applyAlignment="1">
      <alignment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 indent="1"/>
    </xf>
    <xf numFmtId="3" fontId="28" fillId="0" borderId="9" xfId="0" applyNumberFormat="1" applyFont="1" applyBorder="1" applyAlignment="1">
      <alignment vertical="center" wrapText="1"/>
    </xf>
    <xf numFmtId="3" fontId="28" fillId="0" borderId="6" xfId="0" applyNumberFormat="1" applyFont="1" applyBorder="1" applyAlignment="1">
      <alignment vertical="center" wrapText="1"/>
    </xf>
    <xf numFmtId="3" fontId="28" fillId="0" borderId="15" xfId="0" applyNumberFormat="1" applyFont="1" applyBorder="1" applyAlignment="1">
      <alignment vertical="center" wrapText="1"/>
    </xf>
    <xf numFmtId="3" fontId="28" fillId="0" borderId="94" xfId="0" applyNumberFormat="1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2" fillId="0" borderId="123" xfId="0" applyFont="1" applyBorder="1" applyAlignment="1">
      <alignment vertical="center" wrapText="1"/>
    </xf>
    <xf numFmtId="0" fontId="21" fillId="0" borderId="124" xfId="0" applyFont="1" applyBorder="1" applyAlignment="1">
      <alignment horizontal="center" vertical="center" wrapText="1"/>
    </xf>
    <xf numFmtId="3" fontId="14" fillId="3" borderId="124" xfId="0" applyNumberFormat="1" applyFont="1" applyFill="1" applyBorder="1" applyAlignment="1">
      <alignment vertical="center" wrapText="1"/>
    </xf>
    <xf numFmtId="3" fontId="14" fillId="0" borderId="124" xfId="0" applyNumberFormat="1" applyFont="1" applyBorder="1" applyAlignment="1">
      <alignment vertical="center" wrapText="1"/>
    </xf>
    <xf numFmtId="3" fontId="14" fillId="0" borderId="122" xfId="0" applyNumberFormat="1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3" fontId="14" fillId="3" borderId="15" xfId="0" applyNumberFormat="1" applyFont="1" applyFill="1" applyBorder="1" applyAlignment="1">
      <alignment vertical="center" wrapText="1"/>
    </xf>
    <xf numFmtId="3" fontId="14" fillId="3" borderId="6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 indent="1"/>
    </xf>
    <xf numFmtId="3" fontId="14" fillId="3" borderId="36" xfId="0" applyNumberFormat="1" applyFont="1" applyFill="1" applyBorder="1" applyAlignment="1">
      <alignment vertical="center" wrapText="1"/>
    </xf>
    <xf numFmtId="3" fontId="14" fillId="3" borderId="14" xfId="0" applyNumberFormat="1" applyFont="1" applyFill="1" applyBorder="1" applyAlignment="1">
      <alignment vertical="center" wrapText="1"/>
    </xf>
    <xf numFmtId="3" fontId="14" fillId="0" borderId="36" xfId="0" applyNumberFormat="1" applyFont="1" applyBorder="1" applyAlignment="1">
      <alignment vertical="center" wrapText="1"/>
    </xf>
    <xf numFmtId="3" fontId="14" fillId="0" borderId="88" xfId="0" applyNumberFormat="1" applyFont="1" applyBorder="1" applyAlignment="1">
      <alignment vertical="center" wrapText="1"/>
    </xf>
    <xf numFmtId="0" fontId="0" fillId="0" borderId="0" xfId="0" applyFont="1"/>
    <xf numFmtId="0" fontId="0" fillId="0" borderId="22" xfId="0" applyFont="1" applyBorder="1"/>
    <xf numFmtId="0" fontId="0" fillId="0" borderId="22" xfId="0" applyFont="1" applyBorder="1" applyAlignment="1"/>
    <xf numFmtId="0" fontId="0" fillId="0" borderId="0" xfId="0" applyFont="1" applyAlignment="1"/>
    <xf numFmtId="3" fontId="0" fillId="0" borderId="0" xfId="0" applyNumberFormat="1" applyFont="1"/>
    <xf numFmtId="3" fontId="0" fillId="0" borderId="0" xfId="0" applyNumberFormat="1" applyFont="1" applyAlignment="1"/>
    <xf numFmtId="0" fontId="24" fillId="3" borderId="97" xfId="0" applyFont="1" applyFill="1" applyBorder="1" applyAlignment="1">
      <alignment horizontal="left" vertical="center" shrinkToFit="1"/>
    </xf>
    <xf numFmtId="0" fontId="24" fillId="3" borderId="115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25" fillId="0" borderId="98" xfId="0" applyFont="1" applyFill="1" applyBorder="1" applyAlignment="1">
      <alignment horizontal="center" shrinkToFit="1"/>
    </xf>
    <xf numFmtId="0" fontId="25" fillId="0" borderId="99" xfId="0" applyFont="1" applyFill="1" applyBorder="1" applyAlignment="1">
      <alignment horizontal="center" shrinkToFit="1"/>
    </xf>
    <xf numFmtId="0" fontId="25" fillId="0" borderId="83" xfId="0" applyFont="1" applyFill="1" applyBorder="1" applyAlignment="1">
      <alignment horizontal="center" shrinkToFit="1"/>
    </xf>
    <xf numFmtId="0" fontId="24" fillId="0" borderId="100" xfId="0" applyFont="1" applyFill="1" applyBorder="1" applyAlignment="1">
      <alignment horizontal="left" vertical="center"/>
    </xf>
    <xf numFmtId="0" fontId="24" fillId="0" borderId="101" xfId="0" applyFont="1" applyFill="1" applyBorder="1" applyAlignment="1">
      <alignment horizontal="left" vertical="center"/>
    </xf>
    <xf numFmtId="0" fontId="24" fillId="0" borderId="98" xfId="0" applyFont="1" applyFill="1" applyBorder="1" applyAlignment="1">
      <alignment horizontal="center" shrinkToFit="1"/>
    </xf>
    <xf numFmtId="0" fontId="24" fillId="0" borderId="99" xfId="0" applyFont="1" applyFill="1" applyBorder="1" applyAlignment="1">
      <alignment horizontal="center" shrinkToFit="1"/>
    </xf>
    <xf numFmtId="0" fontId="24" fillId="0" borderId="83" xfId="0" applyFont="1" applyFill="1" applyBorder="1" applyAlignment="1">
      <alignment horizontal="center" shrinkToFit="1"/>
    </xf>
    <xf numFmtId="2" fontId="24" fillId="0" borderId="100" xfId="0" applyNumberFormat="1" applyFont="1" applyFill="1" applyBorder="1" applyAlignment="1">
      <alignment horizontal="center" shrinkToFit="1"/>
    </xf>
    <xf numFmtId="2" fontId="24" fillId="0" borderId="103" xfId="0" applyNumberFormat="1" applyFont="1" applyFill="1" applyBorder="1" applyAlignment="1">
      <alignment horizontal="center" shrinkToFit="1"/>
    </xf>
    <xf numFmtId="2" fontId="24" fillId="0" borderId="100" xfId="0" applyNumberFormat="1" applyFont="1" applyFill="1" applyBorder="1" applyAlignment="1">
      <alignment horizontal="center" vertical="center" shrinkToFit="1"/>
    </xf>
    <xf numFmtId="2" fontId="24" fillId="0" borderId="103" xfId="0" applyNumberFormat="1" applyFont="1" applyFill="1" applyBorder="1" applyAlignment="1">
      <alignment horizontal="center" vertical="center" shrinkToFit="1"/>
    </xf>
    <xf numFmtId="2" fontId="24" fillId="0" borderId="100" xfId="0" applyNumberFormat="1" applyFont="1" applyFill="1" applyBorder="1" applyAlignment="1">
      <alignment horizontal="left" vertical="center" wrapText="1" shrinkToFit="1"/>
    </xf>
    <xf numFmtId="2" fontId="24" fillId="0" borderId="103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0" fontId="24" fillId="2" borderId="98" xfId="0" applyFont="1" applyFill="1" applyBorder="1" applyAlignment="1">
      <alignment horizontal="center" vertical="center" shrinkToFit="1"/>
    </xf>
    <xf numFmtId="0" fontId="24" fillId="2" borderId="99" xfId="0" applyFont="1" applyFill="1" applyBorder="1" applyAlignment="1">
      <alignment horizontal="center" vertical="center" shrinkToFit="1"/>
    </xf>
    <xf numFmtId="0" fontId="24" fillId="2" borderId="83" xfId="0" applyFont="1" applyFill="1" applyBorder="1" applyAlignment="1">
      <alignment horizontal="center" vertical="center" shrinkToFit="1"/>
    </xf>
    <xf numFmtId="2" fontId="24" fillId="0" borderId="97" xfId="0" applyNumberFormat="1" applyFont="1" applyFill="1" applyBorder="1" applyAlignment="1">
      <alignment horizontal="center" vertical="center" shrinkToFit="1"/>
    </xf>
    <xf numFmtId="2" fontId="24" fillId="0" borderId="102" xfId="0" applyNumberFormat="1" applyFont="1" applyFill="1" applyBorder="1" applyAlignment="1">
      <alignment horizontal="center" vertical="center" shrinkToFit="1"/>
    </xf>
    <xf numFmtId="0" fontId="24" fillId="0" borderId="100" xfId="0" applyFont="1" applyFill="1" applyBorder="1" applyAlignment="1">
      <alignment horizontal="center" vertical="center" shrinkToFit="1"/>
    </xf>
    <xf numFmtId="0" fontId="24" fillId="0" borderId="103" xfId="0" applyFont="1" applyFill="1" applyBorder="1" applyAlignment="1">
      <alignment horizontal="center" vertical="center" shrinkToFit="1"/>
    </xf>
    <xf numFmtId="3" fontId="21" fillId="3" borderId="15" xfId="0" applyNumberFormat="1" applyFont="1" applyFill="1" applyBorder="1" applyAlignment="1">
      <alignment horizontal="left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21" fillId="9" borderId="90" xfId="0" applyNumberFormat="1" applyFont="1" applyFill="1" applyBorder="1" applyAlignment="1">
      <alignment horizontal="center" vertical="center"/>
    </xf>
    <xf numFmtId="3" fontId="21" fillId="9" borderId="105" xfId="0" applyNumberFormat="1" applyFont="1" applyFill="1" applyBorder="1" applyAlignment="1">
      <alignment horizontal="center" vertical="center"/>
    </xf>
    <xf numFmtId="3" fontId="21" fillId="9" borderId="94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right" vertical="top"/>
    </xf>
    <xf numFmtId="3" fontId="23" fillId="3" borderId="15" xfId="0" applyNumberFormat="1" applyFont="1" applyFill="1" applyBorder="1" applyAlignment="1">
      <alignment horizontal="left" vertical="center"/>
    </xf>
    <xf numFmtId="3" fontId="24" fillId="3" borderId="10" xfId="0" applyNumberFormat="1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3" fontId="24" fillId="3" borderId="15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/>
    </xf>
    <xf numFmtId="3" fontId="34" fillId="3" borderId="15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3" fontId="23" fillId="3" borderId="16" xfId="0" applyNumberFormat="1" applyFont="1" applyFill="1" applyBorder="1" applyAlignment="1">
      <alignment horizontal="left" vertical="center"/>
    </xf>
    <xf numFmtId="3" fontId="23" fillId="3" borderId="13" xfId="0" applyNumberFormat="1" applyFont="1" applyFill="1" applyBorder="1" applyAlignment="1">
      <alignment horizontal="left" vertical="center"/>
    </xf>
    <xf numFmtId="3" fontId="30" fillId="4" borderId="15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center" vertical="center" wrapText="1"/>
    </xf>
    <xf numFmtId="3" fontId="24" fillId="4" borderId="15" xfId="0" applyNumberFormat="1" applyFont="1" applyFill="1" applyBorder="1" applyAlignment="1">
      <alignment horizontal="center" vertical="center"/>
    </xf>
    <xf numFmtId="3" fontId="30" fillId="4" borderId="15" xfId="0" quotePrefix="1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68" fillId="9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 wrapText="1"/>
    </xf>
    <xf numFmtId="3" fontId="24" fillId="9" borderId="15" xfId="0" applyNumberFormat="1" applyFont="1" applyFill="1" applyBorder="1" applyAlignment="1">
      <alignment horizontal="center" vertical="center"/>
    </xf>
    <xf numFmtId="3" fontId="68" fillId="4" borderId="15" xfId="0" applyNumberFormat="1" applyFont="1" applyFill="1" applyBorder="1" applyAlignment="1">
      <alignment horizontal="center" vertical="center"/>
    </xf>
    <xf numFmtId="3" fontId="68" fillId="9" borderId="15" xfId="0" applyNumberFormat="1" applyFont="1" applyFill="1" applyBorder="1" applyAlignment="1">
      <alignment horizontal="left"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21" fillId="9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left" vertical="center"/>
    </xf>
    <xf numFmtId="3" fontId="24" fillId="3" borderId="19" xfId="0" applyNumberFormat="1" applyFont="1" applyFill="1" applyBorder="1" applyAlignment="1">
      <alignment horizontal="center" vertical="center" wrapText="1"/>
    </xf>
    <xf numFmtId="3" fontId="24" fillId="3" borderId="21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textRotation="1"/>
    </xf>
    <xf numFmtId="0" fontId="0" fillId="3" borderId="5" xfId="0" applyFont="1" applyFill="1" applyBorder="1" applyAlignment="1">
      <alignment horizontal="center" vertical="center" textRotation="1"/>
    </xf>
    <xf numFmtId="3" fontId="14" fillId="3" borderId="10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3" fontId="14" fillId="3" borderId="98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35" xfId="0" applyNumberFormat="1" applyFont="1" applyFill="1" applyBorder="1" applyAlignment="1">
      <alignment horizontal="center" vertical="center"/>
    </xf>
    <xf numFmtId="3" fontId="71" fillId="3" borderId="16" xfId="0" applyNumberFormat="1" applyFont="1" applyFill="1" applyBorder="1" applyAlignment="1">
      <alignment horizontal="center" vertical="center"/>
    </xf>
    <xf numFmtId="3" fontId="34" fillId="3" borderId="10" xfId="0" applyNumberFormat="1" applyFont="1" applyFill="1" applyBorder="1" applyAlignment="1">
      <alignment horizontal="center" vertical="center" wrapText="1"/>
    </xf>
    <xf numFmtId="3" fontId="34" fillId="3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87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15" xfId="0" quotePrefix="1" applyFont="1" applyBorder="1" applyAlignment="1">
      <alignment horizontal="center" vertical="center" wrapText="1"/>
    </xf>
    <xf numFmtId="1" fontId="21" fillId="0" borderId="12" xfId="2" applyNumberFormat="1" applyFont="1" applyFill="1" applyBorder="1" applyAlignment="1">
      <alignment horizontal="center" vertical="center" wrapText="1"/>
    </xf>
    <xf numFmtId="1" fontId="21" fillId="0" borderId="15" xfId="2" applyNumberFormat="1" applyFont="1" applyFill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 wrapText="1"/>
    </xf>
    <xf numFmtId="3" fontId="5" fillId="3" borderId="0" xfId="2" applyNumberFormat="1" applyFont="1" applyFill="1" applyBorder="1" applyAlignment="1">
      <alignment horizontal="right" vertical="center"/>
    </xf>
    <xf numFmtId="3" fontId="51" fillId="5" borderId="98" xfId="2" applyNumberFormat="1" applyFont="1" applyFill="1" applyBorder="1" applyAlignment="1">
      <alignment horizontal="center" vertical="center"/>
    </xf>
    <xf numFmtId="3" fontId="51" fillId="5" borderId="99" xfId="2" applyNumberFormat="1" applyFont="1" applyFill="1" applyBorder="1" applyAlignment="1">
      <alignment horizontal="center" vertical="center"/>
    </xf>
    <xf numFmtId="3" fontId="51" fillId="5" borderId="83" xfId="2" applyNumberFormat="1" applyFont="1" applyFill="1" applyBorder="1" applyAlignment="1">
      <alignment horizontal="center" vertical="center"/>
    </xf>
    <xf numFmtId="3" fontId="51" fillId="5" borderId="4" xfId="2" applyNumberFormat="1" applyFont="1" applyFill="1" applyBorder="1" applyAlignment="1">
      <alignment horizontal="center" vertical="center"/>
    </xf>
    <xf numFmtId="3" fontId="51" fillId="5" borderId="18" xfId="2" applyNumberFormat="1" applyFont="1" applyFill="1" applyBorder="1" applyAlignment="1">
      <alignment horizontal="center" vertical="center"/>
    </xf>
    <xf numFmtId="3" fontId="51" fillId="5" borderId="37" xfId="2" applyNumberFormat="1" applyFont="1" applyFill="1" applyBorder="1" applyAlignment="1">
      <alignment horizontal="center" vertical="center"/>
    </xf>
    <xf numFmtId="3" fontId="43" fillId="3" borderId="1" xfId="2" applyNumberFormat="1" applyFont="1" applyFill="1" applyBorder="1" applyAlignment="1">
      <alignment horizontal="center" vertical="center"/>
    </xf>
    <xf numFmtId="3" fontId="43" fillId="3" borderId="6" xfId="2" applyNumberFormat="1" applyFont="1" applyFill="1" applyBorder="1" applyAlignment="1">
      <alignment horizontal="center" vertical="center"/>
    </xf>
    <xf numFmtId="1" fontId="64" fillId="3" borderId="10" xfId="2" applyNumberFormat="1" applyFont="1" applyFill="1" applyBorder="1" applyAlignment="1">
      <alignment horizontal="center" vertical="center" wrapText="1"/>
    </xf>
    <xf numFmtId="1" fontId="64" fillId="3" borderId="9" xfId="2" applyNumberFormat="1" applyFont="1" applyFill="1" applyBorder="1" applyAlignment="1">
      <alignment horizontal="center" vertical="center" wrapText="1"/>
    </xf>
    <xf numFmtId="1" fontId="64" fillId="3" borderId="5" xfId="2" applyNumberFormat="1" applyFont="1" applyFill="1" applyBorder="1" applyAlignment="1">
      <alignment horizontal="center" vertical="center" wrapText="1"/>
    </xf>
    <xf numFmtId="3" fontId="52" fillId="5" borderId="98" xfId="2" applyNumberFormat="1" applyFont="1" applyFill="1" applyBorder="1" applyAlignment="1">
      <alignment horizontal="center" vertical="center"/>
    </xf>
    <xf numFmtId="3" fontId="52" fillId="5" borderId="99" xfId="2" applyNumberFormat="1" applyFont="1" applyFill="1" applyBorder="1" applyAlignment="1">
      <alignment horizontal="center" vertical="center"/>
    </xf>
    <xf numFmtId="3" fontId="52" fillId="5" borderId="83" xfId="2" applyNumberFormat="1" applyFont="1" applyFill="1" applyBorder="1" applyAlignment="1">
      <alignment horizontal="center" vertical="center"/>
    </xf>
    <xf numFmtId="3" fontId="63" fillId="3" borderId="106" xfId="2" applyNumberFormat="1" applyFont="1" applyFill="1" applyBorder="1" applyAlignment="1">
      <alignment horizontal="center" vertical="center" wrapText="1"/>
    </xf>
    <xf numFmtId="3" fontId="63" fillId="3" borderId="107" xfId="2" applyNumberFormat="1" applyFont="1" applyFill="1" applyBorder="1" applyAlignment="1">
      <alignment horizontal="center" vertical="center" wrapText="1"/>
    </xf>
    <xf numFmtId="3" fontId="63" fillId="3" borderId="108" xfId="2" applyNumberFormat="1" applyFont="1" applyFill="1" applyBorder="1" applyAlignment="1">
      <alignment horizontal="center" vertical="center" wrapText="1"/>
    </xf>
    <xf numFmtId="3" fontId="63" fillId="3" borderId="16" xfId="2" applyNumberFormat="1" applyFont="1" applyFill="1" applyBorder="1" applyAlignment="1">
      <alignment horizontal="center" vertical="center" wrapText="1"/>
    </xf>
    <xf numFmtId="3" fontId="63" fillId="3" borderId="5" xfId="2" applyNumberFormat="1" applyFont="1" applyFill="1" applyBorder="1" applyAlignment="1">
      <alignment horizontal="center" vertical="center" wrapText="1"/>
    </xf>
    <xf numFmtId="3" fontId="13" fillId="3" borderId="106" xfId="2" applyNumberFormat="1" applyFont="1" applyFill="1" applyBorder="1" applyAlignment="1">
      <alignment horizontal="center" vertical="center" wrapText="1"/>
    </xf>
    <xf numFmtId="3" fontId="13" fillId="3" borderId="107" xfId="2" applyNumberFormat="1" applyFont="1" applyFill="1" applyBorder="1" applyAlignment="1">
      <alignment horizontal="center" vertical="center" wrapText="1"/>
    </xf>
    <xf numFmtId="3" fontId="13" fillId="3" borderId="108" xfId="2" applyNumberFormat="1" applyFont="1" applyFill="1" applyBorder="1" applyAlignment="1">
      <alignment horizontal="center" vertical="center" wrapText="1"/>
    </xf>
    <xf numFmtId="3" fontId="43" fillId="3" borderId="17" xfId="2" applyNumberFormat="1" applyFont="1" applyFill="1" applyBorder="1" applyAlignment="1">
      <alignment horizontal="center" vertical="center"/>
    </xf>
    <xf numFmtId="3" fontId="43" fillId="3" borderId="7" xfId="2" applyNumberFormat="1" applyFont="1" applyFill="1" applyBorder="1" applyAlignment="1">
      <alignment horizontal="center" vertical="center"/>
    </xf>
    <xf numFmtId="3" fontId="43" fillId="3" borderId="4" xfId="2" applyNumberFormat="1" applyFont="1" applyFill="1" applyBorder="1" applyAlignment="1">
      <alignment horizontal="center" vertical="center"/>
    </xf>
    <xf numFmtId="3" fontId="43" fillId="3" borderId="36" xfId="2" applyNumberFormat="1" applyFont="1" applyFill="1" applyBorder="1" applyAlignment="1">
      <alignment horizontal="center" vertical="center"/>
    </xf>
    <xf numFmtId="3" fontId="63" fillId="3" borderId="9" xfId="2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1" fillId="4" borderId="75" xfId="2" applyNumberFormat="1" applyFont="1" applyFill="1" applyBorder="1" applyAlignment="1">
      <alignment horizontal="center" vertical="center"/>
    </xf>
    <xf numFmtId="3" fontId="11" fillId="4" borderId="77" xfId="2" applyNumberFormat="1" applyFont="1" applyFill="1" applyBorder="1" applyAlignment="1">
      <alignment horizontal="center" vertical="center"/>
    </xf>
    <xf numFmtId="3" fontId="10" fillId="5" borderId="98" xfId="2" applyNumberFormat="1" applyFont="1" applyFill="1" applyBorder="1" applyAlignment="1">
      <alignment horizontal="center" vertical="center" wrapText="1"/>
    </xf>
    <xf numFmtId="3" fontId="10" fillId="5" borderId="99" xfId="2" applyNumberFormat="1" applyFont="1" applyFill="1" applyBorder="1" applyAlignment="1">
      <alignment horizontal="center" vertical="center" wrapText="1"/>
    </xf>
    <xf numFmtId="3" fontId="10" fillId="5" borderId="76" xfId="2" applyNumberFormat="1" applyFont="1" applyFill="1" applyBorder="1" applyAlignment="1">
      <alignment horizontal="center" vertical="center" wrapText="1"/>
    </xf>
    <xf numFmtId="3" fontId="10" fillId="4" borderId="74" xfId="2" applyNumberFormat="1" applyFont="1" applyFill="1" applyBorder="1" applyAlignment="1">
      <alignment horizontal="center" vertical="center"/>
    </xf>
    <xf numFmtId="3" fontId="10" fillId="4" borderId="5" xfId="2" applyNumberFormat="1" applyFont="1" applyFill="1" applyBorder="1" applyAlignment="1">
      <alignment horizontal="center" vertical="center"/>
    </xf>
    <xf numFmtId="3" fontId="11" fillId="4" borderId="17" xfId="2" applyNumberFormat="1" applyFont="1" applyFill="1" applyBorder="1" applyAlignment="1">
      <alignment horizontal="center" vertical="center"/>
    </xf>
    <xf numFmtId="3" fontId="11" fillId="4" borderId="22" xfId="2" applyNumberFormat="1" applyFont="1" applyFill="1" applyBorder="1" applyAlignment="1">
      <alignment horizontal="center" vertical="center"/>
    </xf>
    <xf numFmtId="3" fontId="11" fillId="4" borderId="7" xfId="2" applyNumberFormat="1" applyFont="1" applyFill="1" applyBorder="1" applyAlignment="1">
      <alignment horizontal="center" vertical="center"/>
    </xf>
    <xf numFmtId="3" fontId="11" fillId="5" borderId="112" xfId="2" applyNumberFormat="1" applyFont="1" applyFill="1" applyBorder="1" applyAlignment="1">
      <alignment horizontal="center" vertical="center"/>
    </xf>
    <xf numFmtId="3" fontId="11" fillId="5" borderId="113" xfId="2" applyNumberFormat="1" applyFont="1" applyFill="1" applyBorder="1" applyAlignment="1">
      <alignment horizontal="center" vertical="center"/>
    </xf>
    <xf numFmtId="3" fontId="11" fillId="5" borderId="114" xfId="2" applyNumberFormat="1" applyFont="1" applyFill="1" applyBorder="1" applyAlignment="1">
      <alignment horizontal="center" vertical="center"/>
    </xf>
    <xf numFmtId="3" fontId="10" fillId="5" borderId="98" xfId="2" applyNumberFormat="1" applyFont="1" applyFill="1" applyBorder="1" applyAlignment="1">
      <alignment horizontal="center" vertical="center"/>
    </xf>
    <xf numFmtId="3" fontId="10" fillId="5" borderId="99" xfId="2" applyNumberFormat="1" applyFont="1" applyFill="1" applyBorder="1" applyAlignment="1">
      <alignment horizontal="center" vertical="center"/>
    </xf>
    <xf numFmtId="3" fontId="11" fillId="5" borderId="104" xfId="2" applyNumberFormat="1" applyFont="1" applyFill="1" applyBorder="1" applyAlignment="1">
      <alignment horizontal="center" vertical="center"/>
    </xf>
    <xf numFmtId="3" fontId="11" fillId="5" borderId="105" xfId="2" applyNumberFormat="1" applyFont="1" applyFill="1" applyBorder="1" applyAlignment="1">
      <alignment horizontal="center" vertical="center"/>
    </xf>
    <xf numFmtId="3" fontId="11" fillId="5" borderId="94" xfId="2" applyNumberFormat="1" applyFont="1" applyFill="1" applyBorder="1" applyAlignment="1">
      <alignment horizontal="center" vertical="center"/>
    </xf>
    <xf numFmtId="3" fontId="11" fillId="5" borderId="111" xfId="2" applyNumberFormat="1" applyFont="1" applyFill="1" applyBorder="1" applyAlignment="1">
      <alignment horizontal="center" vertical="center"/>
    </xf>
    <xf numFmtId="3" fontId="11" fillId="5" borderId="107" xfId="2" applyNumberFormat="1" applyFont="1" applyFill="1" applyBorder="1" applyAlignment="1">
      <alignment horizontal="center" vertical="center"/>
    </xf>
    <xf numFmtId="3" fontId="11" fillId="5" borderId="108" xfId="2" applyNumberFormat="1" applyFont="1" applyFill="1" applyBorder="1" applyAlignment="1">
      <alignment horizontal="center" vertical="center"/>
    </xf>
    <xf numFmtId="3" fontId="10" fillId="3" borderId="110" xfId="2" applyNumberFormat="1" applyFont="1" applyFill="1" applyBorder="1" applyAlignment="1">
      <alignment horizontal="left" vertical="center"/>
    </xf>
    <xf numFmtId="0" fontId="41" fillId="3" borderId="110" xfId="0" applyFont="1" applyFill="1" applyBorder="1" applyAlignment="1">
      <alignment horizontal="left" vertical="center"/>
    </xf>
    <xf numFmtId="0" fontId="58" fillId="12" borderId="92" xfId="0" applyFont="1" applyFill="1" applyBorder="1" applyAlignment="1">
      <alignment vertical="center" shrinkToFit="1"/>
    </xf>
    <xf numFmtId="0" fontId="57" fillId="12" borderId="15" xfId="0" applyFont="1" applyFill="1" applyBorder="1" applyAlignment="1">
      <alignment vertical="center" shrinkToFit="1"/>
    </xf>
    <xf numFmtId="165" fontId="58" fillId="12" borderId="16" xfId="0" applyNumberFormat="1" applyFont="1" applyFill="1" applyBorder="1" applyAlignment="1">
      <alignment horizontal="center" vertical="center" shrinkToFit="1"/>
    </xf>
    <xf numFmtId="165" fontId="58" fillId="12" borderId="5" xfId="0" applyNumberFormat="1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66" fillId="0" borderId="17" xfId="0" applyFont="1" applyFill="1" applyBorder="1" applyAlignment="1">
      <alignment horizontal="center" vertical="center" shrinkToFit="1"/>
    </xf>
    <xf numFmtId="0" fontId="66" fillId="0" borderId="22" xfId="0" applyFont="1" applyFill="1" applyBorder="1" applyAlignment="1">
      <alignment horizontal="center" vertical="center" shrinkToFit="1"/>
    </xf>
    <xf numFmtId="0" fontId="66" fillId="0" borderId="7" xfId="0" applyFont="1" applyFill="1" applyBorder="1" applyAlignment="1">
      <alignment horizontal="center" vertical="center" shrinkToFit="1"/>
    </xf>
    <xf numFmtId="0" fontId="58" fillId="0" borderId="92" xfId="0" applyFont="1" applyFill="1" applyBorder="1" applyAlignment="1">
      <alignment horizontal="left" vertical="center" shrinkToFit="1"/>
    </xf>
    <xf numFmtId="0" fontId="57" fillId="0" borderId="15" xfId="0" applyFont="1" applyFill="1" applyBorder="1" applyAlignment="1">
      <alignment horizontal="left" vertical="center" shrinkToFit="1"/>
    </xf>
  </cellXfs>
  <cellStyles count="4">
    <cellStyle name="Normál" xfId="0" builtinId="0"/>
    <cellStyle name="Normal_KARSZJ3" xfId="1"/>
    <cellStyle name="Normál_végső rend. képv.mód-sal" xfId="2"/>
    <cellStyle name="Normál_végső rend. képv.mód-sal 2" xf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10</xdr:col>
      <xdr:colOff>428624</xdr:colOff>
      <xdr:row>3</xdr:row>
      <xdr:rowOff>114300</xdr:rowOff>
    </xdr:to>
    <xdr:sp macro="" textlink="">
      <xdr:nvSpPr>
        <xdr:cNvPr id="18434" name="AutoShape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Arrowheads="1"/>
        </xdr:cNvSpPr>
      </xdr:nvSpPr>
      <xdr:spPr bwMode="auto">
        <a:xfrm>
          <a:off x="3486150" y="38100"/>
          <a:ext cx="4190999" cy="400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melléklet </a:t>
          </a:r>
          <a:r>
            <a:rPr lang="hu-HU" sz="800" b="0" i="0" baseline="0">
              <a:effectLst/>
              <a:latin typeface="+mn-lt"/>
              <a:ea typeface="+mn-ea"/>
              <a:cs typeface="+mn-cs"/>
            </a:rPr>
            <a:t>a  </a:t>
          </a:r>
          <a:r>
            <a:rPr lang="hu-HU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/2018. (   .)önkormányzati rendelethez</a:t>
          </a:r>
          <a:endParaRPr lang="hu-HU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 Önkormányzata - ELŐIRÁNYZAT - FELHASZNÁLÁSI TERV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Az előirányzatok felhasználásának alakulásáról 2018. évben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114300</xdr:rowOff>
    </xdr:from>
    <xdr:to>
      <xdr:col>3</xdr:col>
      <xdr:colOff>495300</xdr:colOff>
      <xdr:row>4</xdr:row>
      <xdr:rowOff>38100</xdr:rowOff>
    </xdr:to>
    <xdr:sp macro="" textlink="">
      <xdr:nvSpPr>
        <xdr:cNvPr id="2082" name="AutoShape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rrowheads="1"/>
        </xdr:cNvSpPr>
      </xdr:nvSpPr>
      <xdr:spPr bwMode="auto">
        <a:xfrm>
          <a:off x="1266825" y="276225"/>
          <a:ext cx="3695700" cy="4095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 melléklet a  </a:t>
          </a:r>
          <a:r>
            <a:rPr lang="hu-HU" sz="700" b="0" i="0" u="none" strike="noStrike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/</a:t>
          </a:r>
          <a:r>
            <a:rPr lang="hu-H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2018. (    .)</a:t>
          </a: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önkormányzati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Csengőd Község 2018. ÉVI KÖLTSÉGVETÉSÉNEK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895349</xdr:colOff>
      <xdr:row>0</xdr:row>
      <xdr:rowOff>85725</xdr:rowOff>
    </xdr:from>
    <xdr:to>
      <xdr:col>4</xdr:col>
      <xdr:colOff>4943474</xdr:colOff>
      <xdr:row>2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28899" y="85725"/>
          <a:ext cx="4048125" cy="361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melléklet a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/2018. (     .)önkormányzati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2018.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133350</xdr:rowOff>
    </xdr:from>
    <xdr:to>
      <xdr:col>10</xdr:col>
      <xdr:colOff>381000</xdr:colOff>
      <xdr:row>2</xdr:row>
      <xdr:rowOff>142875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1743075" y="133350"/>
          <a:ext cx="5534025" cy="371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melléklet 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/2018. (    .)önkormányzati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lnSpc>
              <a:spcPts val="700"/>
            </a:lnSpc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AZ ÖNKORMÁNYZAT ÁLTAL IRÁNYÍTOTT KÖLTSÉGVETÉSI SZERVEK  2018.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2162175</xdr:colOff>
      <xdr:row>0</xdr:row>
      <xdr:rowOff>133350</xdr:rowOff>
    </xdr:from>
    <xdr:to>
      <xdr:col>13</xdr:col>
      <xdr:colOff>38100</xdr:colOff>
      <xdr:row>3</xdr:row>
      <xdr:rowOff>47624</xdr:rowOff>
    </xdr:to>
    <xdr:sp macro="" textlink="">
      <xdr:nvSpPr>
        <xdr:cNvPr id="32769" name="AutoShape 1">
          <a:extLst>
            <a:ext uri="{FF2B5EF4-FFF2-40B4-BE49-F238E27FC236}">
              <a16:creationId xmlns:a16="http://schemas.microsoft.com/office/drawing/2014/main" id="{00000000-0008-0000-0400-000001800000}"/>
            </a:ext>
          </a:extLst>
        </xdr:cNvPr>
        <xdr:cNvSpPr>
          <a:spLocks noChangeArrowheads="1"/>
        </xdr:cNvSpPr>
      </xdr:nvSpPr>
      <xdr:spPr bwMode="auto">
        <a:xfrm>
          <a:off x="3028950" y="133350"/>
          <a:ext cx="5105400" cy="400049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 /2019. (  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2018. ÉVI KÖLTSÉGVETÉSI KIADÁSOK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57150</xdr:rowOff>
    </xdr:from>
    <xdr:to>
      <xdr:col>2</xdr:col>
      <xdr:colOff>5534025</xdr:colOff>
      <xdr:row>2</xdr:row>
      <xdr:rowOff>352425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81025" y="209550"/>
          <a:ext cx="5381625" cy="4476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 melléklet a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/2018. (   .)önkormányzati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BERUHÁZÁSOK, FELÚJÍTÁSOK , EGYÉB FELHALMOZÁSI JELLEGŰ KIADÁSOK, FINANSZÍROZÁSI KIADÁSOK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beruházásonként, felújításonként )</a:t>
          </a:r>
        </a:p>
      </xdr:txBody>
    </xdr:sp>
    <xdr:clientData/>
  </xdr:twoCellAnchor>
  <xdr:twoCellAnchor>
    <xdr:from>
      <xdr:col>2</xdr:col>
      <xdr:colOff>1735931</xdr:colOff>
      <xdr:row>4</xdr:row>
      <xdr:rowOff>116681</xdr:rowOff>
    </xdr:from>
    <xdr:to>
      <xdr:col>3</xdr:col>
      <xdr:colOff>69056</xdr:colOff>
      <xdr:row>6</xdr:row>
      <xdr:rowOff>257175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164556" y="116681"/>
          <a:ext cx="5381625" cy="44529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 melléklet a ..../2019. (.....) önkormányzati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BERUHÁZÁSOK, FELÚJÍTÁSOK , EGYÉB FELHALMOZÁSI JELLEGŰ KIADÁSOK, FINANSZÍROZÁSI KIADÁSOK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ahoma"/>
              <a:cs typeface="Times New Roman" panose="02020603050405020304" pitchFamily="18" charset="0"/>
            </a:rPr>
            <a:t>( beruházásonként, felújításonként 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LDOC~1\AppData\Local\Temp\9014%20&#214;nkorm&#225;nyzat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3">
          <cell r="J73">
            <v>2157657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topLeftCell="C1" zoomScale="80" zoomScaleSheetLayoutView="80" workbookViewId="0">
      <selection activeCell="P3" sqref="P3:V34"/>
    </sheetView>
  </sheetViews>
  <sheetFormatPr defaultColWidth="7.7109375" defaultRowHeight="12.75" x14ac:dyDescent="0.2"/>
  <cols>
    <col min="1" max="1" width="3.140625" style="77" customWidth="1"/>
    <col min="2" max="2" width="32.140625" style="77" customWidth="1"/>
    <col min="3" max="3" width="11" style="77" customWidth="1"/>
    <col min="4" max="4" width="10.7109375" style="77" customWidth="1"/>
    <col min="5" max="5" width="13.28515625" style="77" customWidth="1"/>
    <col min="6" max="7" width="11.7109375" style="77" customWidth="1"/>
    <col min="8" max="8" width="11.5703125" style="77" customWidth="1"/>
    <col min="9" max="9" width="10.85546875" style="77" customWidth="1"/>
    <col min="10" max="10" width="12" style="77" customWidth="1"/>
    <col min="11" max="12" width="11.140625" style="77" customWidth="1"/>
    <col min="13" max="13" width="13.42578125" style="77" customWidth="1"/>
    <col min="14" max="14" width="13.28515625" style="77" customWidth="1"/>
    <col min="15" max="15" width="11.5703125" style="77" customWidth="1"/>
    <col min="16" max="16" width="15.85546875" style="1" customWidth="1"/>
    <col min="17" max="16384" width="7.7109375" style="1"/>
  </cols>
  <sheetData>
    <row r="1" spans="1:19" x14ac:dyDescent="0.2">
      <c r="L1" s="807"/>
      <c r="M1" s="807"/>
      <c r="N1" s="807"/>
      <c r="O1" s="807"/>
    </row>
    <row r="2" spans="1:19" x14ac:dyDescent="0.2">
      <c r="L2" s="202"/>
      <c r="M2" s="202"/>
      <c r="N2" s="202"/>
      <c r="O2" s="202"/>
    </row>
    <row r="4" spans="1:19" ht="13.5" customHeight="1" thickBot="1" x14ac:dyDescent="0.25">
      <c r="L4" s="78"/>
      <c r="O4" s="79"/>
    </row>
    <row r="5" spans="1:19" ht="17.25" customHeight="1" thickBot="1" x14ac:dyDescent="0.25">
      <c r="A5" s="808" t="s">
        <v>1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10"/>
    </row>
    <row r="6" spans="1:19" s="2" customFormat="1" x14ac:dyDescent="0.2">
      <c r="A6" s="83"/>
      <c r="B6" s="80"/>
      <c r="C6" s="84" t="s">
        <v>2</v>
      </c>
      <c r="D6" s="84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84" t="s">
        <v>11</v>
      </c>
      <c r="M6" s="84" t="s">
        <v>12</v>
      </c>
      <c r="N6" s="84" t="s">
        <v>13</v>
      </c>
      <c r="O6" s="91" t="s">
        <v>14</v>
      </c>
      <c r="Q6" s="97"/>
    </row>
    <row r="7" spans="1:19" ht="15" customHeight="1" x14ac:dyDescent="0.2">
      <c r="A7" s="160" t="s">
        <v>15</v>
      </c>
      <c r="B7" s="161" t="s">
        <v>71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>
        <f>'2 mérleg'!C12+'2 mérleg'!D12</f>
        <v>0</v>
      </c>
      <c r="P7" s="34"/>
      <c r="Q7" s="34"/>
      <c r="R7" s="34"/>
      <c r="S7" s="34"/>
    </row>
    <row r="8" spans="1:19" ht="25.5" customHeight="1" x14ac:dyDescent="0.2">
      <c r="A8" s="164" t="s">
        <v>16</v>
      </c>
      <c r="B8" s="165" t="s">
        <v>158</v>
      </c>
      <c r="C8" s="166">
        <f>O8/12+762823+312831</f>
        <v>22862625</v>
      </c>
      <c r="D8" s="166">
        <f>20773567+699254+312000</f>
        <v>21784821</v>
      </c>
      <c r="E8" s="166">
        <f>20773567+699254+300000</f>
        <v>21772821</v>
      </c>
      <c r="F8" s="166">
        <f>20773567+570442</f>
        <v>21344009</v>
      </c>
      <c r="G8" s="166">
        <f>20773567+582712</f>
        <v>21356279</v>
      </c>
      <c r="H8" s="166">
        <f t="shared" ref="H8:J8" si="0">20773567+582712</f>
        <v>21356279</v>
      </c>
      <c r="I8" s="166">
        <f t="shared" si="0"/>
        <v>21356279</v>
      </c>
      <c r="J8" s="166">
        <f t="shared" si="0"/>
        <v>21356279</v>
      </c>
      <c r="K8" s="166">
        <f>20773567+582712+500000</f>
        <v>21856279</v>
      </c>
      <c r="L8" s="166">
        <f>20773567+582712+500000</f>
        <v>21856279</v>
      </c>
      <c r="M8" s="166">
        <f>20773567+582712+829144</f>
        <v>22185423</v>
      </c>
      <c r="N8" s="166">
        <f>20773567+582712+1000000</f>
        <v>22356279</v>
      </c>
      <c r="O8" s="167">
        <f>'2 mérleg'!E22</f>
        <v>261443652</v>
      </c>
      <c r="P8" s="34"/>
      <c r="Q8" s="34"/>
      <c r="R8" s="34"/>
      <c r="S8" s="34"/>
    </row>
    <row r="9" spans="1:19" ht="30" customHeight="1" x14ac:dyDescent="0.2">
      <c r="A9" s="164" t="s">
        <v>17</v>
      </c>
      <c r="B9" s="168" t="s">
        <v>159</v>
      </c>
      <c r="C9" s="162"/>
      <c r="D9" s="162"/>
      <c r="E9" s="162">
        <f>'3 bevételek'!H208+'3 bevételek'!H209</f>
        <v>214204250</v>
      </c>
      <c r="F9" s="162">
        <f>'3 bevételek'!H211</f>
        <v>1306068</v>
      </c>
      <c r="G9" s="162"/>
      <c r="H9" s="162"/>
      <c r="I9" s="162"/>
      <c r="J9" s="162"/>
      <c r="K9" s="162"/>
      <c r="L9" s="162"/>
      <c r="M9" s="162">
        <v>25703979</v>
      </c>
      <c r="N9" s="166">
        <f>15000000+1500000</f>
        <v>16500000</v>
      </c>
      <c r="O9" s="167">
        <f>'2 mérleg'!E23</f>
        <v>257714297</v>
      </c>
      <c r="P9" s="34"/>
      <c r="Q9" s="34"/>
      <c r="R9" s="34"/>
      <c r="S9" s="34"/>
    </row>
    <row r="10" spans="1:19" x14ac:dyDescent="0.2">
      <c r="A10" s="164" t="s">
        <v>18</v>
      </c>
      <c r="B10" s="165" t="s">
        <v>70</v>
      </c>
      <c r="C10" s="166"/>
      <c r="D10" s="166"/>
      <c r="E10" s="166">
        <v>13700000</v>
      </c>
      <c r="F10" s="166"/>
      <c r="G10" s="166"/>
      <c r="H10" s="166"/>
      <c r="I10" s="166"/>
      <c r="J10" s="166"/>
      <c r="K10" s="166">
        <v>13700000</v>
      </c>
      <c r="L10" s="166"/>
      <c r="M10" s="166">
        <v>7634241</v>
      </c>
      <c r="N10" s="166">
        <f>3400000</f>
        <v>3400000</v>
      </c>
      <c r="O10" s="167">
        <f>'2 mérleg'!E24</f>
        <v>38434241</v>
      </c>
      <c r="P10" s="34"/>
      <c r="Q10" s="34"/>
      <c r="R10" s="34"/>
      <c r="S10" s="34"/>
    </row>
    <row r="11" spans="1:19" x14ac:dyDescent="0.2">
      <c r="A11" s="164" t="s">
        <v>19</v>
      </c>
      <c r="B11" s="165" t="s">
        <v>160</v>
      </c>
      <c r="C11" s="166">
        <f>27851113/12</f>
        <v>2320926.0833333335</v>
      </c>
      <c r="D11" s="166">
        <f t="shared" ref="D11:G11" si="1">27851113/12</f>
        <v>2320926.0833333335</v>
      </c>
      <c r="E11" s="166">
        <f t="shared" si="1"/>
        <v>2320926.0833333335</v>
      </c>
      <c r="F11" s="166">
        <f t="shared" si="1"/>
        <v>2320926.0833333335</v>
      </c>
      <c r="G11" s="166">
        <f t="shared" si="1"/>
        <v>2320926.0833333335</v>
      </c>
      <c r="H11" s="166">
        <f>27851113/12+476126</f>
        <v>2797052.0833333335</v>
      </c>
      <c r="I11" s="166">
        <f>27851113/12+476126+299584</f>
        <v>3096636.0833333335</v>
      </c>
      <c r="J11" s="166">
        <f>27851113/12+476126+326587</f>
        <v>3123639.0833333335</v>
      </c>
      <c r="K11" s="166">
        <f>27851113/12+476126+500000</f>
        <v>3297052.0833333335</v>
      </c>
      <c r="L11" s="166">
        <f>27851113/12+476126+1000000</f>
        <v>3797052.0833333335</v>
      </c>
      <c r="M11" s="166">
        <f>27851113/12+476126-2+100000</f>
        <v>2897050.0833333335</v>
      </c>
      <c r="N11" s="166">
        <f>27851113/12+1000000+1000000</f>
        <v>4320926.083333334</v>
      </c>
      <c r="O11" s="167">
        <f>'2 mérleg'!E25+'2 mérleg'!C20</f>
        <v>34934038.181102365</v>
      </c>
      <c r="P11" s="34"/>
      <c r="Q11" s="34"/>
      <c r="R11" s="34"/>
      <c r="S11" s="34"/>
    </row>
    <row r="12" spans="1:19" ht="13.5" customHeight="1" x14ac:dyDescent="0.2">
      <c r="A12" s="164" t="s">
        <v>20</v>
      </c>
      <c r="B12" s="165" t="s">
        <v>161</v>
      </c>
      <c r="C12" s="166"/>
      <c r="D12" s="166"/>
      <c r="E12" s="166"/>
      <c r="F12" s="166">
        <v>150000</v>
      </c>
      <c r="G12" s="166">
        <v>1200000</v>
      </c>
      <c r="H12" s="166">
        <v>232900</v>
      </c>
      <c r="I12" s="166">
        <v>1490100</v>
      </c>
      <c r="J12" s="166"/>
      <c r="K12" s="166"/>
      <c r="L12" s="166"/>
      <c r="M12" s="166"/>
      <c r="N12" s="166">
        <v>296266</v>
      </c>
      <c r="O12" s="167">
        <f>'2 mérleg'!E26+'2 mérleg'!D20</f>
        <v>3369266</v>
      </c>
      <c r="P12" s="34"/>
      <c r="Q12" s="34"/>
      <c r="R12" s="34"/>
      <c r="S12" s="34"/>
    </row>
    <row r="13" spans="1:19" x14ac:dyDescent="0.2">
      <c r="A13" s="164" t="s">
        <v>21</v>
      </c>
      <c r="B13" s="165" t="s">
        <v>157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>
        <v>91197</v>
      </c>
      <c r="O13" s="167">
        <f>'2 mérleg'!E27</f>
        <v>91197</v>
      </c>
      <c r="P13" s="34"/>
      <c r="Q13" s="34"/>
      <c r="R13" s="34"/>
      <c r="S13" s="34"/>
    </row>
    <row r="14" spans="1:19" ht="13.5" customHeight="1" x14ac:dyDescent="0.2">
      <c r="A14" s="164" t="s">
        <v>22</v>
      </c>
      <c r="B14" s="165" t="s">
        <v>156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>
        <v>5231394</v>
      </c>
      <c r="O14" s="167">
        <f>'2 mérleg'!E28</f>
        <v>5231394</v>
      </c>
      <c r="P14" s="34"/>
      <c r="Q14" s="34"/>
      <c r="R14" s="34"/>
      <c r="S14" s="34"/>
    </row>
    <row r="15" spans="1:19" ht="13.5" thickBot="1" x14ac:dyDescent="0.25">
      <c r="A15" s="164" t="s">
        <v>23</v>
      </c>
      <c r="B15" s="165" t="s">
        <v>98</v>
      </c>
      <c r="C15" s="166">
        <f>295488846/12+7794568+303165+202567+754621</f>
        <v>33678991.5</v>
      </c>
      <c r="D15" s="166">
        <f t="shared" ref="D15:M15" si="2">295488846/12</f>
        <v>24624070.5</v>
      </c>
      <c r="E15" s="166">
        <f t="shared" si="2"/>
        <v>24624070.5</v>
      </c>
      <c r="F15" s="166">
        <f t="shared" si="2"/>
        <v>24624070.5</v>
      </c>
      <c r="G15" s="166">
        <f t="shared" si="2"/>
        <v>24624070.5</v>
      </c>
      <c r="H15" s="166">
        <f t="shared" si="2"/>
        <v>24624070.5</v>
      </c>
      <c r="I15" s="166">
        <f t="shared" si="2"/>
        <v>24624070.5</v>
      </c>
      <c r="J15" s="166">
        <f t="shared" si="2"/>
        <v>24624070.5</v>
      </c>
      <c r="K15" s="166">
        <f t="shared" si="2"/>
        <v>24624070.5</v>
      </c>
      <c r="L15" s="166">
        <f t="shared" si="2"/>
        <v>24624070.5</v>
      </c>
      <c r="M15" s="166">
        <f t="shared" si="2"/>
        <v>24624070.5</v>
      </c>
      <c r="N15" s="166">
        <f>295488846/12+55000000</f>
        <v>79624070.5</v>
      </c>
      <c r="O15" s="167">
        <f>'2 mérleg'!E32</f>
        <v>359543767</v>
      </c>
      <c r="P15" s="34"/>
      <c r="Q15" s="34"/>
      <c r="R15" s="34"/>
      <c r="S15" s="34"/>
    </row>
    <row r="16" spans="1:19" s="3" customFormat="1" ht="14.25" thickTop="1" thickBot="1" x14ac:dyDescent="0.25">
      <c r="A16" s="811" t="s">
        <v>14</v>
      </c>
      <c r="B16" s="812"/>
      <c r="C16" s="169">
        <f>SUM(C7:C15)</f>
        <v>58862542.583333328</v>
      </c>
      <c r="D16" s="169">
        <f t="shared" ref="D16:N16" si="3">SUM(D7:D15)</f>
        <v>48729817.583333328</v>
      </c>
      <c r="E16" s="169">
        <f t="shared" si="3"/>
        <v>276622067.58333337</v>
      </c>
      <c r="F16" s="169">
        <f t="shared" si="3"/>
        <v>49745073.583333328</v>
      </c>
      <c r="G16" s="169">
        <f>SUM(G7:G15)</f>
        <v>49501275.583333328</v>
      </c>
      <c r="H16" s="169">
        <f t="shared" si="3"/>
        <v>49010301.583333328</v>
      </c>
      <c r="I16" s="169">
        <f t="shared" si="3"/>
        <v>50567085.583333328</v>
      </c>
      <c r="J16" s="169">
        <f t="shared" si="3"/>
        <v>49103988.583333328</v>
      </c>
      <c r="K16" s="169">
        <f t="shared" si="3"/>
        <v>63477401.583333336</v>
      </c>
      <c r="L16" s="169">
        <f t="shared" si="3"/>
        <v>50277401.583333328</v>
      </c>
      <c r="M16" s="169">
        <f t="shared" si="3"/>
        <v>83044763.583333343</v>
      </c>
      <c r="N16" s="169">
        <f t="shared" si="3"/>
        <v>131820132.58333334</v>
      </c>
      <c r="O16" s="170">
        <f>SUM(O7:O15)</f>
        <v>960761852.1811024</v>
      </c>
      <c r="P16" s="34"/>
      <c r="Q16" s="34"/>
      <c r="R16" s="34"/>
      <c r="S16" s="34"/>
    </row>
    <row r="17" spans="1:19" ht="7.5" customHeight="1" thickTop="1" thickBot="1" x14ac:dyDescent="0.25">
      <c r="A17" s="171"/>
      <c r="B17" s="172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5"/>
      <c r="P17" s="34"/>
      <c r="Q17" s="34"/>
      <c r="R17" s="34"/>
      <c r="S17" s="34"/>
    </row>
    <row r="18" spans="1:19" ht="3.75" customHeight="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7"/>
      <c r="P18" s="34"/>
      <c r="Q18" s="34"/>
      <c r="R18" s="34"/>
      <c r="S18" s="34"/>
    </row>
    <row r="19" spans="1:19" ht="7.5" customHeight="1" thickBot="1" x14ac:dyDescent="0.2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8" t="s">
        <v>59</v>
      </c>
      <c r="P19" s="34"/>
      <c r="Q19" s="34"/>
      <c r="R19" s="34"/>
      <c r="S19" s="34"/>
    </row>
    <row r="20" spans="1:19" ht="16.5" customHeight="1" thickBot="1" x14ac:dyDescent="0.25">
      <c r="A20" s="813" t="s">
        <v>24</v>
      </c>
      <c r="B20" s="814"/>
      <c r="C20" s="814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5"/>
      <c r="P20" s="34"/>
      <c r="Q20" s="34"/>
      <c r="R20" s="34"/>
      <c r="S20" s="34"/>
    </row>
    <row r="21" spans="1:19" s="2" customFormat="1" x14ac:dyDescent="0.2">
      <c r="A21" s="179"/>
      <c r="B21" s="180"/>
      <c r="C21" s="181" t="s">
        <v>2</v>
      </c>
      <c r="D21" s="181" t="s">
        <v>3</v>
      </c>
      <c r="E21" s="181" t="s">
        <v>4</v>
      </c>
      <c r="F21" s="181" t="s">
        <v>5</v>
      </c>
      <c r="G21" s="181" t="s">
        <v>6</v>
      </c>
      <c r="H21" s="181" t="s">
        <v>7</v>
      </c>
      <c r="I21" s="181" t="s">
        <v>8</v>
      </c>
      <c r="J21" s="181" t="s">
        <v>9</v>
      </c>
      <c r="K21" s="181" t="s">
        <v>10</v>
      </c>
      <c r="L21" s="181" t="s">
        <v>11</v>
      </c>
      <c r="M21" s="181" t="s">
        <v>12</v>
      </c>
      <c r="N21" s="181" t="s">
        <v>13</v>
      </c>
      <c r="O21" s="182" t="s">
        <v>14</v>
      </c>
      <c r="P21" s="34"/>
      <c r="Q21" s="34"/>
      <c r="R21" s="34"/>
      <c r="S21" s="34"/>
    </row>
    <row r="22" spans="1:19" x14ac:dyDescent="0.2">
      <c r="A22" s="183" t="s">
        <v>15</v>
      </c>
      <c r="B22" s="184" t="s">
        <v>25</v>
      </c>
      <c r="C22" s="185">
        <f>152525218/12-(775000/12)-53365+100000+50000+1338716</f>
        <v>14081202.5</v>
      </c>
      <c r="D22" s="185">
        <f t="shared" ref="D22:M22" si="4">152525218/12-(775000/12)-53365+100000+50000+1338716</f>
        <v>14081202.5</v>
      </c>
      <c r="E22" s="185">
        <f t="shared" si="4"/>
        <v>14081202.5</v>
      </c>
      <c r="F22" s="185">
        <f t="shared" si="4"/>
        <v>14081202.5</v>
      </c>
      <c r="G22" s="185">
        <f t="shared" si="4"/>
        <v>14081202.5</v>
      </c>
      <c r="H22" s="185">
        <f t="shared" si="4"/>
        <v>14081202.5</v>
      </c>
      <c r="I22" s="185">
        <f t="shared" si="4"/>
        <v>14081202.5</v>
      </c>
      <c r="J22" s="185">
        <f t="shared" si="4"/>
        <v>14081202.5</v>
      </c>
      <c r="K22" s="185">
        <f t="shared" si="4"/>
        <v>14081202.5</v>
      </c>
      <c r="L22" s="185">
        <f t="shared" si="4"/>
        <v>14081202.5</v>
      </c>
      <c r="M22" s="185">
        <f t="shared" si="4"/>
        <v>14081202.5</v>
      </c>
      <c r="N22" s="185">
        <f>152525218/12-(775000/12)-53365+100000+50000-12185-1660316+2000000+550004</f>
        <v>13619989.5</v>
      </c>
      <c r="O22" s="186">
        <f>'2 mérleg'!E45</f>
        <v>168513217</v>
      </c>
      <c r="P22" s="34"/>
      <c r="Q22" s="34"/>
      <c r="R22" s="34"/>
      <c r="S22" s="34"/>
    </row>
    <row r="23" spans="1:19" ht="25.5" x14ac:dyDescent="0.2">
      <c r="A23" s="187" t="s">
        <v>16</v>
      </c>
      <c r="B23" s="122" t="s">
        <v>74</v>
      </c>
      <c r="C23" s="188">
        <f>28652656/12+(170544/12)+25000+5000+267114</f>
        <v>2699047.3333333335</v>
      </c>
      <c r="D23" s="188">
        <f t="shared" ref="D23:M23" si="5">28652656/12+(170544/12)+25000+5000+267114</f>
        <v>2699047.3333333335</v>
      </c>
      <c r="E23" s="188">
        <f t="shared" si="5"/>
        <v>2699047.3333333335</v>
      </c>
      <c r="F23" s="188">
        <f t="shared" si="5"/>
        <v>2699047.3333333335</v>
      </c>
      <c r="G23" s="188">
        <f t="shared" si="5"/>
        <v>2699047.3333333335</v>
      </c>
      <c r="H23" s="188">
        <f t="shared" si="5"/>
        <v>2699047.3333333335</v>
      </c>
      <c r="I23" s="188">
        <f t="shared" si="5"/>
        <v>2699047.3333333335</v>
      </c>
      <c r="J23" s="188">
        <f t="shared" si="5"/>
        <v>2699047.3333333335</v>
      </c>
      <c r="K23" s="188">
        <f t="shared" si="5"/>
        <v>2699047.3333333335</v>
      </c>
      <c r="L23" s="188">
        <f t="shared" si="5"/>
        <v>2699047.3333333335</v>
      </c>
      <c r="M23" s="188">
        <f t="shared" si="5"/>
        <v>2699047.3333333335</v>
      </c>
      <c r="N23" s="188">
        <f>28652656/12+(170544/12)+25000+5000+267114-172360-242</f>
        <v>2526445.3333333335</v>
      </c>
      <c r="O23" s="189">
        <f>'2 mérleg'!E46</f>
        <v>32215966</v>
      </c>
      <c r="P23" s="34"/>
      <c r="Q23" s="34"/>
      <c r="R23" s="34"/>
      <c r="S23" s="34"/>
    </row>
    <row r="24" spans="1:19" x14ac:dyDescent="0.2">
      <c r="A24" s="187" t="s">
        <v>17</v>
      </c>
      <c r="B24" s="190" t="s">
        <v>26</v>
      </c>
      <c r="C24" s="188">
        <f>105517465/12+303590+1596697</f>
        <v>10693409.083333334</v>
      </c>
      <c r="D24" s="188">
        <f t="shared" ref="D24:L24" si="6">105517465/12+303590+1596697</f>
        <v>10693409.083333334</v>
      </c>
      <c r="E24" s="188">
        <f t="shared" si="6"/>
        <v>10693409.083333334</v>
      </c>
      <c r="F24" s="188">
        <f t="shared" si="6"/>
        <v>10693409.083333334</v>
      </c>
      <c r="G24" s="188">
        <f t="shared" si="6"/>
        <v>10693409.083333334</v>
      </c>
      <c r="H24" s="188">
        <f t="shared" si="6"/>
        <v>10693409.083333334</v>
      </c>
      <c r="I24" s="188">
        <f t="shared" si="6"/>
        <v>10693409.083333334</v>
      </c>
      <c r="J24" s="188">
        <f t="shared" si="6"/>
        <v>10693409.083333334</v>
      </c>
      <c r="K24" s="188">
        <f t="shared" si="6"/>
        <v>10693409.083333334</v>
      </c>
      <c r="L24" s="188">
        <f t="shared" si="6"/>
        <v>10693409.083333334</v>
      </c>
      <c r="M24" s="188">
        <f>105517465/12+303590+1596697+121970+1341665</f>
        <v>12157044.083333334</v>
      </c>
      <c r="N24" s="188">
        <f>105517465/12-129006+250000+8000000+133058</f>
        <v>17047174.083333336</v>
      </c>
      <c r="O24" s="189">
        <f>'2 mérleg'!E47</f>
        <v>136138309</v>
      </c>
      <c r="P24" s="34"/>
      <c r="Q24" s="34"/>
      <c r="R24" s="34"/>
      <c r="S24" s="34"/>
    </row>
    <row r="25" spans="1:19" x14ac:dyDescent="0.2">
      <c r="A25" s="191" t="s">
        <v>18</v>
      </c>
      <c r="B25" s="192" t="s">
        <v>60</v>
      </c>
      <c r="C25" s="185">
        <f>1400000/9</f>
        <v>155555.55555555556</v>
      </c>
      <c r="D25" s="185">
        <f t="shared" ref="D25:I25" si="7">1400000/9</f>
        <v>155555.55555555556</v>
      </c>
      <c r="E25" s="185">
        <f t="shared" si="7"/>
        <v>155555.55555555556</v>
      </c>
      <c r="F25" s="185">
        <f t="shared" si="7"/>
        <v>155555.55555555556</v>
      </c>
      <c r="G25" s="185">
        <f t="shared" si="7"/>
        <v>155555.55555555556</v>
      </c>
      <c r="H25" s="185">
        <f t="shared" si="7"/>
        <v>155555.55555555556</v>
      </c>
      <c r="I25" s="185">
        <f t="shared" si="7"/>
        <v>155555.55555555556</v>
      </c>
      <c r="J25" s="185">
        <f>500000+909500</f>
        <v>1409500</v>
      </c>
      <c r="K25" s="185">
        <f t="shared" ref="K25:L25" si="8">1400000/9</f>
        <v>155555.55555555556</v>
      </c>
      <c r="L25" s="185">
        <f t="shared" si="8"/>
        <v>155555.55555555556</v>
      </c>
      <c r="M25" s="185">
        <f>909500-318770</f>
        <v>590730</v>
      </c>
      <c r="N25" s="185">
        <f>200000+318770</f>
        <v>518770</v>
      </c>
      <c r="O25" s="186">
        <f>'2 mérleg'!C48</f>
        <v>3919000</v>
      </c>
      <c r="P25" s="34"/>
      <c r="Q25" s="34"/>
      <c r="R25" s="34"/>
      <c r="S25" s="34"/>
    </row>
    <row r="26" spans="1:19" ht="13.5" customHeight="1" x14ac:dyDescent="0.2">
      <c r="A26" s="191" t="s">
        <v>19</v>
      </c>
      <c r="B26" s="123" t="s">
        <v>66</v>
      </c>
      <c r="C26" s="185">
        <f>6573411/12</f>
        <v>547784.25</v>
      </c>
      <c r="D26" s="185">
        <f t="shared" ref="D26:L26" si="9">6573411/12</f>
        <v>547784.25</v>
      </c>
      <c r="E26" s="185">
        <f t="shared" si="9"/>
        <v>547784.25</v>
      </c>
      <c r="F26" s="185">
        <f t="shared" si="9"/>
        <v>547784.25</v>
      </c>
      <c r="G26" s="185">
        <f t="shared" si="9"/>
        <v>547784.25</v>
      </c>
      <c r="H26" s="185">
        <f t="shared" si="9"/>
        <v>547784.25</v>
      </c>
      <c r="I26" s="185">
        <f t="shared" si="9"/>
        <v>547784.25</v>
      </c>
      <c r="J26" s="185">
        <f t="shared" si="9"/>
        <v>547784.25</v>
      </c>
      <c r="K26" s="185">
        <f t="shared" si="9"/>
        <v>547784.25</v>
      </c>
      <c r="L26" s="185">
        <f t="shared" si="9"/>
        <v>547784.25</v>
      </c>
      <c r="M26" s="185">
        <f>6573411/12+100000+3976664</f>
        <v>4624448.25</v>
      </c>
      <c r="N26" s="185">
        <f>6573411/12+10849+955924+2229732</f>
        <v>3744289.25</v>
      </c>
      <c r="O26" s="186">
        <f>'2 mérleg'!C49</f>
        <v>13846580</v>
      </c>
      <c r="P26" s="34"/>
      <c r="Q26" s="34"/>
      <c r="R26" s="34"/>
      <c r="S26" s="34"/>
    </row>
    <row r="27" spans="1:19" ht="14.25" customHeight="1" x14ac:dyDescent="0.2">
      <c r="A27" s="191" t="s">
        <v>20</v>
      </c>
      <c r="B27" s="124" t="s">
        <v>36</v>
      </c>
      <c r="C27" s="185"/>
      <c r="D27" s="185">
        <v>250000</v>
      </c>
      <c r="E27" s="185">
        <v>188000</v>
      </c>
      <c r="F27" s="213"/>
      <c r="G27" s="214">
        <v>3000000</v>
      </c>
      <c r="H27" s="188"/>
      <c r="I27" s="185"/>
      <c r="J27" s="213">
        <v>2000000</v>
      </c>
      <c r="K27" s="185">
        <f>'6 beruházások'!D63</f>
        <v>134725598</v>
      </c>
      <c r="L27" s="185"/>
      <c r="M27" s="213"/>
      <c r="N27" s="185">
        <f>'6 beruházások'!D17+115068103</f>
        <v>147459001</v>
      </c>
      <c r="O27" s="186">
        <f>'2 mérleg'!D52</f>
        <v>287622599.10000002</v>
      </c>
      <c r="P27" s="34"/>
      <c r="Q27" s="34"/>
      <c r="R27" s="34"/>
      <c r="S27" s="34"/>
    </row>
    <row r="28" spans="1:19" x14ac:dyDescent="0.2">
      <c r="A28" s="191" t="s">
        <v>21</v>
      </c>
      <c r="B28" s="193" t="s">
        <v>37</v>
      </c>
      <c r="C28" s="194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>
        <f>134725598+15000000</f>
        <v>149725598</v>
      </c>
      <c r="O28" s="189">
        <f>'2 mérleg'!D53</f>
        <v>149725598</v>
      </c>
      <c r="P28" s="34"/>
      <c r="Q28" s="34"/>
      <c r="R28" s="34"/>
      <c r="S28" s="34"/>
    </row>
    <row r="29" spans="1:19" x14ac:dyDescent="0.2">
      <c r="A29" s="191" t="s">
        <v>22</v>
      </c>
      <c r="B29" s="125" t="s">
        <v>41</v>
      </c>
      <c r="C29" s="194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>
        <v>5231394</v>
      </c>
      <c r="O29" s="189">
        <f>'2 mérleg'!D54</f>
        <v>5231394</v>
      </c>
      <c r="P29" s="34"/>
      <c r="Q29" s="34"/>
      <c r="R29" s="34"/>
      <c r="S29" s="34"/>
    </row>
    <row r="30" spans="1:19" ht="14.25" customHeight="1" thickBot="1" x14ac:dyDescent="0.25">
      <c r="A30" s="195" t="s">
        <v>23</v>
      </c>
      <c r="B30" s="196" t="s">
        <v>62</v>
      </c>
      <c r="C30" s="188">
        <f>100000000/12+7794568+754621+9500000</f>
        <v>26382522.333333332</v>
      </c>
      <c r="D30" s="188">
        <f>100000000/12+5000000</f>
        <v>13333333.333333332</v>
      </c>
      <c r="E30" s="188">
        <f>100000000/12+1000000</f>
        <v>9333333.3333333321</v>
      </c>
      <c r="F30" s="188">
        <f>100000000/12+4000000</f>
        <v>12333333.333333332</v>
      </c>
      <c r="G30" s="188">
        <f>100000000/12</f>
        <v>8333333.333333333</v>
      </c>
      <c r="H30" s="188">
        <f t="shared" ref="H30:K30" si="10">100000000/12+5000000</f>
        <v>13333333.333333332</v>
      </c>
      <c r="I30" s="188">
        <f t="shared" si="10"/>
        <v>13333333.333333332</v>
      </c>
      <c r="J30" s="188">
        <f t="shared" si="10"/>
        <v>13333333.333333332</v>
      </c>
      <c r="K30" s="188">
        <f t="shared" si="10"/>
        <v>13333333.333333332</v>
      </c>
      <c r="L30" s="188">
        <f t="shared" ref="L30" si="11">100000000/12</f>
        <v>8333333.333333333</v>
      </c>
      <c r="M30" s="188">
        <f>100000000/12+5500000</f>
        <v>13833333.333333332</v>
      </c>
      <c r="N30" s="188">
        <f>100000000/12+10000000</f>
        <v>18333333.333333332</v>
      </c>
      <c r="O30" s="197">
        <f>'2 mérleg'!E58</f>
        <v>163549189</v>
      </c>
      <c r="P30" s="34"/>
      <c r="Q30" s="34"/>
      <c r="R30" s="34"/>
      <c r="S30" s="34"/>
    </row>
    <row r="31" spans="1:19" ht="14.25" thickTop="1" thickBot="1" x14ac:dyDescent="0.25">
      <c r="A31" s="805" t="s">
        <v>14</v>
      </c>
      <c r="B31" s="806"/>
      <c r="C31" s="198">
        <f>SUM(C22:C30)</f>
        <v>54559521.055555552</v>
      </c>
      <c r="D31" s="198">
        <f t="shared" ref="D31:O31" si="12">SUM(D22:D30)</f>
        <v>41760332.055555552</v>
      </c>
      <c r="E31" s="198">
        <f t="shared" si="12"/>
        <v>37698332.055555552</v>
      </c>
      <c r="F31" s="198">
        <f t="shared" si="12"/>
        <v>40510332.055555552</v>
      </c>
      <c r="G31" s="198">
        <f t="shared" si="12"/>
        <v>39510332.055555552</v>
      </c>
      <c r="H31" s="198">
        <f t="shared" si="12"/>
        <v>41510332.055555552</v>
      </c>
      <c r="I31" s="198">
        <f t="shared" si="12"/>
        <v>41510332.055555552</v>
      </c>
      <c r="J31" s="198">
        <f t="shared" si="12"/>
        <v>44764276.5</v>
      </c>
      <c r="K31" s="198">
        <f t="shared" si="12"/>
        <v>176235930.05555555</v>
      </c>
      <c r="L31" s="198">
        <f t="shared" si="12"/>
        <v>36510332.055555552</v>
      </c>
      <c r="M31" s="198">
        <f t="shared" si="12"/>
        <v>47985805.5</v>
      </c>
      <c r="N31" s="198">
        <f t="shared" si="12"/>
        <v>358205994.5</v>
      </c>
      <c r="O31" s="199">
        <f t="shared" si="12"/>
        <v>960761852.10000002</v>
      </c>
      <c r="P31" s="34"/>
      <c r="Q31" s="34"/>
      <c r="R31" s="34"/>
      <c r="S31" s="34"/>
    </row>
    <row r="32" spans="1:19" ht="7.5" customHeight="1" x14ac:dyDescent="0.2">
      <c r="A32" s="82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34"/>
      <c r="Q32" s="34"/>
      <c r="R32" s="34"/>
      <c r="S32" s="34"/>
    </row>
    <row r="33" spans="3:19" x14ac:dyDescent="0.2">
      <c r="O33" s="86"/>
      <c r="S33" s="34"/>
    </row>
    <row r="34" spans="3:19" x14ac:dyDescent="0.2"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34"/>
      <c r="S34" s="34"/>
    </row>
    <row r="35" spans="3:19" x14ac:dyDescent="0.2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Q35" s="34"/>
    </row>
    <row r="36" spans="3:19" x14ac:dyDescent="0.2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</sheetData>
  <mergeCells count="5">
    <mergeCell ref="A31:B31"/>
    <mergeCell ref="L1:O1"/>
    <mergeCell ref="A5:O5"/>
    <mergeCell ref="A16:B16"/>
    <mergeCell ref="A20:O20"/>
  </mergeCells>
  <phoneticPr fontId="0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70" orientation="landscape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topLeftCell="A37" zoomScale="90" zoomScaleSheetLayoutView="90" workbookViewId="0">
      <selection activeCell="F60" sqref="F60"/>
    </sheetView>
  </sheetViews>
  <sheetFormatPr defaultRowHeight="12.75" x14ac:dyDescent="0.2"/>
  <cols>
    <col min="1" max="1" width="4.140625" style="39" customWidth="1"/>
    <col min="2" max="2" width="51.42578125" style="40" customWidth="1"/>
    <col min="3" max="3" width="11.42578125" style="75" customWidth="1"/>
    <col min="4" max="4" width="11.5703125" style="75" customWidth="1"/>
    <col min="5" max="5" width="11.7109375" style="76" customWidth="1"/>
    <col min="6" max="16384" width="9.140625" style="4"/>
  </cols>
  <sheetData>
    <row r="1" spans="1:6" ht="12.75" customHeight="1" x14ac:dyDescent="0.2">
      <c r="C1" s="822"/>
      <c r="D1" s="822"/>
      <c r="E1" s="822"/>
      <c r="F1" s="95"/>
    </row>
    <row r="6" spans="1:6" ht="13.5" thickBot="1" x14ac:dyDescent="0.25">
      <c r="C6" s="41"/>
      <c r="D6" s="41"/>
      <c r="E6" s="42"/>
    </row>
    <row r="7" spans="1:6" ht="5.25" customHeight="1" x14ac:dyDescent="0.2">
      <c r="A7" s="43"/>
      <c r="B7" s="44"/>
      <c r="C7" s="45"/>
      <c r="D7" s="45"/>
      <c r="E7" s="46"/>
    </row>
    <row r="8" spans="1:6" s="5" customFormat="1" x14ac:dyDescent="0.2">
      <c r="A8" s="823" t="s">
        <v>27</v>
      </c>
      <c r="B8" s="824"/>
      <c r="C8" s="47" t="s">
        <v>28</v>
      </c>
      <c r="D8" s="47" t="s">
        <v>29</v>
      </c>
      <c r="E8" s="825" t="s">
        <v>30</v>
      </c>
    </row>
    <row r="9" spans="1:6" s="5" customFormat="1" x14ac:dyDescent="0.2">
      <c r="A9" s="823"/>
      <c r="B9" s="824"/>
      <c r="C9" s="47" t="s">
        <v>31</v>
      </c>
      <c r="D9" s="47" t="s">
        <v>31</v>
      </c>
      <c r="E9" s="825"/>
    </row>
    <row r="10" spans="1:6" ht="4.5" customHeight="1" thickBot="1" x14ac:dyDescent="0.25">
      <c r="A10" s="48"/>
      <c r="B10" s="49"/>
      <c r="C10" s="50"/>
      <c r="D10" s="50"/>
      <c r="E10" s="51"/>
    </row>
    <row r="11" spans="1:6" ht="13.5" customHeight="1" thickBot="1" x14ac:dyDescent="0.2">
      <c r="A11" s="826" t="s">
        <v>32</v>
      </c>
      <c r="B11" s="827"/>
      <c r="C11" s="827"/>
      <c r="D11" s="827"/>
      <c r="E11" s="828"/>
    </row>
    <row r="12" spans="1:6" s="6" customFormat="1" ht="25.5" customHeight="1" x14ac:dyDescent="0.2">
      <c r="A12" s="131" t="s">
        <v>33</v>
      </c>
      <c r="B12" s="52" t="s">
        <v>208</v>
      </c>
      <c r="C12" s="132"/>
      <c r="D12" s="132"/>
      <c r="E12" s="133"/>
    </row>
    <row r="13" spans="1:6" s="6" customFormat="1" ht="12.75" customHeight="1" x14ac:dyDescent="0.2">
      <c r="A13" s="54" t="s">
        <v>15</v>
      </c>
      <c r="B13" s="55" t="s">
        <v>158</v>
      </c>
      <c r="C13" s="203">
        <f>'3 bevételek'!F8</f>
        <v>746480</v>
      </c>
      <c r="D13" s="203">
        <f>'3 bevételek'!G21</f>
        <v>0</v>
      </c>
      <c r="E13" s="163">
        <f>C13+D13</f>
        <v>746480</v>
      </c>
    </row>
    <row r="14" spans="1:6" s="6" customFormat="1" ht="13.5" customHeight="1" x14ac:dyDescent="0.2">
      <c r="A14" s="54" t="s">
        <v>16</v>
      </c>
      <c r="B14" s="57" t="s">
        <v>159</v>
      </c>
      <c r="C14" s="203"/>
      <c r="D14" s="203">
        <v>0</v>
      </c>
      <c r="E14" s="163">
        <f t="shared" ref="E14:E19" si="0">C14+D14</f>
        <v>0</v>
      </c>
    </row>
    <row r="15" spans="1:6" s="6" customFormat="1" ht="13.5" customHeight="1" x14ac:dyDescent="0.2">
      <c r="A15" s="54" t="s">
        <v>17</v>
      </c>
      <c r="B15" s="55" t="s">
        <v>70</v>
      </c>
      <c r="C15" s="203">
        <v>0</v>
      </c>
      <c r="D15" s="203">
        <v>0</v>
      </c>
      <c r="E15" s="163">
        <f t="shared" si="0"/>
        <v>0</v>
      </c>
    </row>
    <row r="16" spans="1:6" s="6" customFormat="1" ht="12" customHeight="1" x14ac:dyDescent="0.2">
      <c r="A16" s="54" t="s">
        <v>18</v>
      </c>
      <c r="B16" s="58" t="s">
        <v>160</v>
      </c>
      <c r="C16" s="203">
        <f>'3 bevételek'!F21</f>
        <v>14182573</v>
      </c>
      <c r="D16" s="203">
        <f>'3 bevételek'!G21</f>
        <v>0</v>
      </c>
      <c r="E16" s="163">
        <f t="shared" si="0"/>
        <v>14182573</v>
      </c>
    </row>
    <row r="17" spans="1:8" s="6" customFormat="1" ht="12.75" customHeight="1" x14ac:dyDescent="0.2">
      <c r="A17" s="54" t="s">
        <v>19</v>
      </c>
      <c r="B17" s="58" t="s">
        <v>161</v>
      </c>
      <c r="C17" s="203">
        <f>'3 bevételek'!F120</f>
        <v>0</v>
      </c>
      <c r="D17" s="203">
        <f>'3 bevételek'!G120</f>
        <v>0</v>
      </c>
      <c r="E17" s="163">
        <f t="shared" si="0"/>
        <v>0</v>
      </c>
    </row>
    <row r="18" spans="1:8" s="6" customFormat="1" ht="12" customHeight="1" x14ac:dyDescent="0.2">
      <c r="A18" s="54" t="s">
        <v>20</v>
      </c>
      <c r="B18" s="58" t="s">
        <v>157</v>
      </c>
      <c r="C18" s="203">
        <v>0</v>
      </c>
      <c r="D18" s="203"/>
      <c r="E18" s="163">
        <f t="shared" si="0"/>
        <v>0</v>
      </c>
    </row>
    <row r="19" spans="1:8" s="6" customFormat="1" ht="12" customHeight="1" x14ac:dyDescent="0.2">
      <c r="A19" s="54" t="s">
        <v>21</v>
      </c>
      <c r="B19" s="58" t="s">
        <v>156</v>
      </c>
      <c r="C19" s="203">
        <v>0</v>
      </c>
      <c r="D19" s="203">
        <v>0</v>
      </c>
      <c r="E19" s="163">
        <f t="shared" si="0"/>
        <v>0</v>
      </c>
    </row>
    <row r="20" spans="1:8" s="6" customFormat="1" ht="12" customHeight="1" x14ac:dyDescent="0.2">
      <c r="A20" s="54"/>
      <c r="B20" s="207" t="s">
        <v>287</v>
      </c>
      <c r="C20" s="203">
        <f>SUM(C13:C19)</f>
        <v>14929053</v>
      </c>
      <c r="D20" s="203">
        <f>SUM(D13:D19)</f>
        <v>0</v>
      </c>
      <c r="E20" s="163">
        <f>C20+D20</f>
        <v>14929053</v>
      </c>
      <c r="F20" s="735">
        <f>E20-14929053</f>
        <v>0</v>
      </c>
    </row>
    <row r="21" spans="1:8" s="6" customFormat="1" ht="27.75" customHeight="1" x14ac:dyDescent="0.2">
      <c r="A21" s="131" t="s">
        <v>34</v>
      </c>
      <c r="B21" s="53" t="s">
        <v>280</v>
      </c>
      <c r="C21" s="134"/>
      <c r="D21" s="134"/>
      <c r="E21" s="135"/>
    </row>
    <row r="22" spans="1:8" s="7" customFormat="1" ht="12" customHeight="1" x14ac:dyDescent="0.2">
      <c r="A22" s="54" t="s">
        <v>15</v>
      </c>
      <c r="B22" s="55" t="s">
        <v>158</v>
      </c>
      <c r="C22" s="136">
        <f>'3 bevételek'!F154</f>
        <v>261443652</v>
      </c>
      <c r="D22" s="56"/>
      <c r="E22" s="137">
        <f>SUM(C22:D22)</f>
        <v>261443652</v>
      </c>
    </row>
    <row r="23" spans="1:8" s="7" customFormat="1" ht="12" customHeight="1" x14ac:dyDescent="0.2">
      <c r="A23" s="54" t="s">
        <v>16</v>
      </c>
      <c r="B23" s="57" t="s">
        <v>159</v>
      </c>
      <c r="C23" s="56"/>
      <c r="D23" s="136">
        <f>'3 bevételek'!G204</f>
        <v>257714297</v>
      </c>
      <c r="E23" s="137">
        <f>D23+C23</f>
        <v>257714297</v>
      </c>
      <c r="F23" s="32"/>
    </row>
    <row r="24" spans="1:8" s="7" customFormat="1" ht="12" customHeight="1" x14ac:dyDescent="0.2">
      <c r="A24" s="54" t="s">
        <v>17</v>
      </c>
      <c r="B24" s="55" t="s">
        <v>70</v>
      </c>
      <c r="C24" s="136">
        <f>'3 bevételek'!F213</f>
        <v>38434241</v>
      </c>
      <c r="D24" s="136">
        <f>'3 bevételek'!G213</f>
        <v>0</v>
      </c>
      <c r="E24" s="137">
        <f>D24+C24</f>
        <v>38434241</v>
      </c>
    </row>
    <row r="25" spans="1:8" s="7" customFormat="1" ht="12" customHeight="1" x14ac:dyDescent="0.2">
      <c r="A25" s="54" t="s">
        <v>18</v>
      </c>
      <c r="B25" s="58" t="s">
        <v>160</v>
      </c>
      <c r="C25" s="138">
        <f>'3 bevételek'!F225</f>
        <v>20004985.181102362</v>
      </c>
      <c r="D25" s="59"/>
      <c r="E25" s="137">
        <f t="shared" ref="E25:E28" si="1">SUM(C25:D25)</f>
        <v>20004985.181102362</v>
      </c>
      <c r="F25" s="32"/>
    </row>
    <row r="26" spans="1:8" s="7" customFormat="1" ht="12" customHeight="1" x14ac:dyDescent="0.2">
      <c r="A26" s="54" t="s">
        <v>19</v>
      </c>
      <c r="B26" s="58" t="s">
        <v>161</v>
      </c>
      <c r="C26" s="59"/>
      <c r="D26" s="138">
        <f>'3 bevételek'!G247</f>
        <v>3369266</v>
      </c>
      <c r="E26" s="137">
        <f t="shared" si="1"/>
        <v>3369266</v>
      </c>
    </row>
    <row r="27" spans="1:8" s="7" customFormat="1" ht="12" customHeight="1" x14ac:dyDescent="0.2">
      <c r="A27" s="54" t="s">
        <v>20</v>
      </c>
      <c r="B27" s="58" t="s">
        <v>157</v>
      </c>
      <c r="C27" s="138">
        <f>'3 bevételek'!F250</f>
        <v>91197</v>
      </c>
      <c r="D27" s="59"/>
      <c r="E27" s="137">
        <f>C27</f>
        <v>91197</v>
      </c>
    </row>
    <row r="28" spans="1:8" s="7" customFormat="1" ht="12" customHeight="1" thickBot="1" x14ac:dyDescent="0.25">
      <c r="A28" s="54" t="s">
        <v>21</v>
      </c>
      <c r="B28" s="58" t="s">
        <v>156</v>
      </c>
      <c r="C28" s="59"/>
      <c r="D28" s="138">
        <f>'3 bevételek'!G251</f>
        <v>5231394</v>
      </c>
      <c r="E28" s="137">
        <f t="shared" si="1"/>
        <v>5231394</v>
      </c>
    </row>
    <row r="29" spans="1:8" s="8" customFormat="1" ht="14.25" customHeight="1" thickTop="1" thickBot="1" x14ac:dyDescent="0.25">
      <c r="A29" s="816" t="s">
        <v>286</v>
      </c>
      <c r="B29" s="817"/>
      <c r="C29" s="139">
        <f>C22+C24+C25+C27</f>
        <v>319974075.18110234</v>
      </c>
      <c r="D29" s="139">
        <f>D23+D26+D28</f>
        <v>266314957</v>
      </c>
      <c r="E29" s="140">
        <f>SUM(C29:D29)</f>
        <v>586289032.18110228</v>
      </c>
      <c r="G29" s="98"/>
    </row>
    <row r="30" spans="1:8" s="9" customFormat="1" ht="15" customHeight="1" thickTop="1" thickBot="1" x14ac:dyDescent="0.25">
      <c r="A30" s="818" t="s">
        <v>207</v>
      </c>
      <c r="B30" s="819"/>
      <c r="C30" s="141">
        <f>C20+C29</f>
        <v>334903128.18110234</v>
      </c>
      <c r="D30" s="141">
        <f>SUM(D12)+D29+D20</f>
        <v>266314957</v>
      </c>
      <c r="E30" s="142">
        <f>C30+D30</f>
        <v>601218085.18110228</v>
      </c>
      <c r="G30" s="31"/>
    </row>
    <row r="31" spans="1:8" s="9" customFormat="1" ht="30.75" customHeight="1" thickTop="1" thickBot="1" x14ac:dyDescent="0.25">
      <c r="A31" s="820" t="s">
        <v>210</v>
      </c>
      <c r="B31" s="821"/>
      <c r="C31" s="141">
        <f>C30-C50</f>
        <v>-19729943.818897665</v>
      </c>
      <c r="D31" s="141">
        <f>D30-D55</f>
        <v>-176264634.10000002</v>
      </c>
      <c r="E31" s="143">
        <f>E30-E56</f>
        <v>-195994577.91889775</v>
      </c>
      <c r="G31" s="31"/>
      <c r="H31" s="31"/>
    </row>
    <row r="32" spans="1:8" s="9" customFormat="1" ht="21" customHeight="1" thickTop="1" thickBot="1" x14ac:dyDescent="0.25">
      <c r="A32" s="206" t="s">
        <v>38</v>
      </c>
      <c r="B32" s="53" t="s">
        <v>282</v>
      </c>
      <c r="C32" s="144">
        <f>C33+C35</f>
        <v>163751756</v>
      </c>
      <c r="D32" s="144">
        <f>D33+D35</f>
        <v>195792011</v>
      </c>
      <c r="E32" s="291">
        <f>C32+D32</f>
        <v>359543767</v>
      </c>
      <c r="G32" s="31"/>
      <c r="H32" s="31"/>
    </row>
    <row r="33" spans="1:9" s="9" customFormat="1" ht="27" customHeight="1" thickTop="1" thickBot="1" x14ac:dyDescent="0.25">
      <c r="A33" s="206"/>
      <c r="B33" s="216" t="s">
        <v>208</v>
      </c>
      <c r="C33" s="144">
        <f>C34</f>
        <v>202567</v>
      </c>
      <c r="D33" s="144">
        <f>D34</f>
        <v>0</v>
      </c>
      <c r="E33" s="291">
        <f>C33+D33</f>
        <v>202567</v>
      </c>
      <c r="G33" s="31"/>
      <c r="H33" s="31"/>
    </row>
    <row r="34" spans="1:9" s="9" customFormat="1" ht="24.75" customHeight="1" thickTop="1" thickBot="1" x14ac:dyDescent="0.25">
      <c r="A34" s="218"/>
      <c r="B34" s="217" t="s">
        <v>236</v>
      </c>
      <c r="C34" s="144">
        <f>'3 bevételek'!F135</f>
        <v>202567</v>
      </c>
      <c r="D34" s="144">
        <f>'3 bevételek'!G135</f>
        <v>0</v>
      </c>
      <c r="E34" s="291">
        <f>C34+D34</f>
        <v>202567</v>
      </c>
      <c r="G34" s="31"/>
      <c r="H34" s="31"/>
    </row>
    <row r="35" spans="1:9" s="9" customFormat="1" ht="18.75" customHeight="1" thickTop="1" x14ac:dyDescent="0.2">
      <c r="A35" s="60"/>
      <c r="B35" s="61" t="s">
        <v>281</v>
      </c>
      <c r="C35" s="144">
        <f>SUM(C36:C38)</f>
        <v>163549189</v>
      </c>
      <c r="D35" s="144">
        <f t="shared" ref="D35:E35" si="2">SUM(D36:D38)</f>
        <v>195792011</v>
      </c>
      <c r="E35" s="291">
        <f t="shared" si="2"/>
        <v>359341200</v>
      </c>
      <c r="G35" s="31"/>
    </row>
    <row r="36" spans="1:9" s="9" customFormat="1" ht="38.25" customHeight="1" x14ac:dyDescent="0.2">
      <c r="A36" s="62" t="s">
        <v>15</v>
      </c>
      <c r="B36" s="63" t="s">
        <v>236</v>
      </c>
      <c r="C36" s="145"/>
      <c r="D36" s="145">
        <f>'3 bevételek'!G253</f>
        <v>195792011</v>
      </c>
      <c r="E36" s="272">
        <f>C36+D36</f>
        <v>195792011</v>
      </c>
      <c r="F36" s="126"/>
      <c r="G36" s="127"/>
      <c r="H36" s="127"/>
      <c r="I36" s="127"/>
    </row>
    <row r="37" spans="1:9" s="10" customFormat="1" ht="11.25" customHeight="1" x14ac:dyDescent="0.2">
      <c r="A37" s="121">
        <v>2</v>
      </c>
      <c r="B37" s="117" t="s">
        <v>243</v>
      </c>
      <c r="C37" s="118">
        <f>'3 bevételek'!F256</f>
        <v>155000000</v>
      </c>
      <c r="D37" s="118">
        <v>0</v>
      </c>
      <c r="E37" s="219">
        <f>C37+D37</f>
        <v>155000000</v>
      </c>
      <c r="F37" s="277"/>
      <c r="G37" s="277"/>
      <c r="H37" s="278"/>
      <c r="I37" s="128"/>
    </row>
    <row r="38" spans="1:9" s="10" customFormat="1" ht="12.75" customHeight="1" thickBot="1" x14ac:dyDescent="0.25">
      <c r="A38" s="121">
        <v>3</v>
      </c>
      <c r="B38" s="120" t="s">
        <v>245</v>
      </c>
      <c r="C38" s="118">
        <f>'3 bevételek'!F257</f>
        <v>8549189</v>
      </c>
      <c r="D38" s="119"/>
      <c r="E38" s="219">
        <f>C38</f>
        <v>8549189</v>
      </c>
      <c r="F38" s="277"/>
      <c r="G38" s="277"/>
      <c r="H38" s="278"/>
      <c r="I38" s="128"/>
    </row>
    <row r="39" spans="1:9" s="33" customFormat="1" ht="24.75" customHeight="1" thickTop="1" thickBot="1" x14ac:dyDescent="0.25">
      <c r="A39" s="831" t="s">
        <v>99</v>
      </c>
      <c r="B39" s="832"/>
      <c r="C39" s="141">
        <f>C30+C32</f>
        <v>498654884.18110234</v>
      </c>
      <c r="D39" s="141">
        <f>D30+D35</f>
        <v>462106968</v>
      </c>
      <c r="E39" s="142">
        <f>C39+D39</f>
        <v>960761852.18110228</v>
      </c>
      <c r="F39" s="129"/>
      <c r="G39" s="130"/>
      <c r="H39" s="129"/>
      <c r="I39" s="129"/>
    </row>
    <row r="40" spans="1:9" s="5" customFormat="1" ht="13.5" thickTop="1" x14ac:dyDescent="0.2">
      <c r="A40" s="823" t="s">
        <v>27</v>
      </c>
      <c r="B40" s="824"/>
      <c r="C40" s="47" t="s">
        <v>28</v>
      </c>
      <c r="D40" s="47" t="s">
        <v>29</v>
      </c>
      <c r="E40" s="825" t="s">
        <v>30</v>
      </c>
    </row>
    <row r="41" spans="1:9" s="5" customFormat="1" x14ac:dyDescent="0.2">
      <c r="A41" s="823"/>
      <c r="B41" s="824"/>
      <c r="C41" s="47" t="s">
        <v>31</v>
      </c>
      <c r="D41" s="47" t="s">
        <v>31</v>
      </c>
      <c r="E41" s="825"/>
    </row>
    <row r="42" spans="1:9" ht="4.5" customHeight="1" thickBot="1" x14ac:dyDescent="0.25">
      <c r="A42" s="48"/>
      <c r="B42" s="65"/>
      <c r="C42" s="146"/>
      <c r="D42" s="146"/>
      <c r="E42" s="147"/>
    </row>
    <row r="43" spans="1:9" ht="13.5" customHeight="1" thickBot="1" x14ac:dyDescent="0.2">
      <c r="A43" s="826" t="s">
        <v>35</v>
      </c>
      <c r="B43" s="827"/>
      <c r="C43" s="827"/>
      <c r="D43" s="827"/>
      <c r="E43" s="828"/>
    </row>
    <row r="44" spans="1:9" s="6" customFormat="1" ht="11.25" customHeight="1" x14ac:dyDescent="0.2">
      <c r="A44" s="131" t="s">
        <v>33</v>
      </c>
      <c r="B44" s="66" t="s">
        <v>75</v>
      </c>
      <c r="C44" s="148"/>
      <c r="D44" s="149"/>
      <c r="E44" s="150"/>
    </row>
    <row r="45" spans="1:9" s="7" customFormat="1" ht="13.5" customHeight="1" x14ac:dyDescent="0.2">
      <c r="A45" s="54" t="s">
        <v>15</v>
      </c>
      <c r="B45" s="55" t="s">
        <v>25</v>
      </c>
      <c r="C45" s="136">
        <f>'3 bevételek'!F269</f>
        <v>168513217</v>
      </c>
      <c r="D45" s="56"/>
      <c r="E45" s="137">
        <f>SUM(C45:D45)</f>
        <v>168513217</v>
      </c>
    </row>
    <row r="46" spans="1:9" s="7" customFormat="1" ht="13.5" customHeight="1" x14ac:dyDescent="0.2">
      <c r="A46" s="54" t="s">
        <v>16</v>
      </c>
      <c r="B46" s="58" t="s">
        <v>74</v>
      </c>
      <c r="C46" s="136">
        <f>'3 bevételek'!F270</f>
        <v>32215966</v>
      </c>
      <c r="D46" s="59"/>
      <c r="E46" s="137">
        <f>SUM(C46:D46)</f>
        <v>32215966</v>
      </c>
    </row>
    <row r="47" spans="1:9" s="7" customFormat="1" ht="13.5" customHeight="1" x14ac:dyDescent="0.2">
      <c r="A47" s="54" t="s">
        <v>17</v>
      </c>
      <c r="B47" s="58" t="s">
        <v>26</v>
      </c>
      <c r="C47" s="136">
        <f>'3 bevételek'!F271</f>
        <v>136138309</v>
      </c>
      <c r="D47" s="59"/>
      <c r="E47" s="137">
        <f>SUM(C47:D47)</f>
        <v>136138309</v>
      </c>
    </row>
    <row r="48" spans="1:9" s="7" customFormat="1" ht="13.5" customHeight="1" x14ac:dyDescent="0.2">
      <c r="A48" s="54" t="s">
        <v>18</v>
      </c>
      <c r="B48" s="36" t="s">
        <v>68</v>
      </c>
      <c r="C48" s="136">
        <f>'3 bevételek'!F272</f>
        <v>3919000</v>
      </c>
      <c r="D48" s="59"/>
      <c r="E48" s="137">
        <f>C48</f>
        <v>3919000</v>
      </c>
      <c r="G48" s="32"/>
    </row>
    <row r="49" spans="1:8" s="7" customFormat="1" ht="13.5" customHeight="1" thickBot="1" x14ac:dyDescent="0.25">
      <c r="A49" s="54" t="s">
        <v>20</v>
      </c>
      <c r="B49" s="37" t="s">
        <v>66</v>
      </c>
      <c r="C49" s="136">
        <f>'3 bevételek'!F273</f>
        <v>13846580</v>
      </c>
      <c r="D49" s="59"/>
      <c r="E49" s="137">
        <f>SUM(C49:D49)</f>
        <v>13846580</v>
      </c>
      <c r="F49" s="32">
        <f>13846580-E49</f>
        <v>0</v>
      </c>
      <c r="H49" s="32"/>
    </row>
    <row r="50" spans="1:8" s="8" customFormat="1" ht="14.25" customHeight="1" thickTop="1" thickBot="1" x14ac:dyDescent="0.25">
      <c r="A50" s="816" t="s">
        <v>76</v>
      </c>
      <c r="B50" s="817"/>
      <c r="C50" s="139">
        <f>SUM(C45:C49)</f>
        <v>354633072</v>
      </c>
      <c r="D50" s="93"/>
      <c r="E50" s="151">
        <f>SUM(C50:D50)</f>
        <v>354633072</v>
      </c>
    </row>
    <row r="51" spans="1:8" s="6" customFormat="1" ht="15" customHeight="1" thickTop="1" x14ac:dyDescent="0.2">
      <c r="A51" s="131" t="s">
        <v>34</v>
      </c>
      <c r="B51" s="66" t="s">
        <v>77</v>
      </c>
      <c r="C51" s="92"/>
      <c r="D51" s="67"/>
      <c r="E51" s="64"/>
    </row>
    <row r="52" spans="1:8" s="7" customFormat="1" ht="13.5" customHeight="1" x14ac:dyDescent="0.2">
      <c r="A52" s="54" t="s">
        <v>15</v>
      </c>
      <c r="B52" s="55" t="s">
        <v>36</v>
      </c>
      <c r="C52" s="56"/>
      <c r="D52" s="136">
        <f>'3 bevételek'!G276</f>
        <v>287622599.10000002</v>
      </c>
      <c r="E52" s="137">
        <f>SUM(C52:D52)</f>
        <v>287622599.10000002</v>
      </c>
    </row>
    <row r="53" spans="1:8" s="7" customFormat="1" ht="12" customHeight="1" x14ac:dyDescent="0.2">
      <c r="A53" s="54" t="s">
        <v>16</v>
      </c>
      <c r="B53" s="58" t="s">
        <v>37</v>
      </c>
      <c r="C53" s="59"/>
      <c r="D53" s="136">
        <f>'3 bevételek'!G277</f>
        <v>149725598</v>
      </c>
      <c r="E53" s="137">
        <f>SUM(C53:D53)</f>
        <v>149725598</v>
      </c>
    </row>
    <row r="54" spans="1:8" s="7" customFormat="1" ht="12" customHeight="1" thickBot="1" x14ac:dyDescent="0.25">
      <c r="A54" s="54" t="s">
        <v>17</v>
      </c>
      <c r="B54" s="58" t="s">
        <v>41</v>
      </c>
      <c r="C54" s="59"/>
      <c r="D54" s="136">
        <f>'3 bevételek'!G278</f>
        <v>5231394</v>
      </c>
      <c r="E54" s="137">
        <f>SUM(C54:D54)</f>
        <v>5231394</v>
      </c>
    </row>
    <row r="55" spans="1:8" s="8" customFormat="1" ht="12.75" customHeight="1" thickTop="1" thickBot="1" x14ac:dyDescent="0.25">
      <c r="A55" s="816" t="s">
        <v>78</v>
      </c>
      <c r="B55" s="817"/>
      <c r="C55" s="93"/>
      <c r="D55" s="139">
        <f>SUM(D52:D54)</f>
        <v>442579591.10000002</v>
      </c>
      <c r="E55" s="151">
        <f>SUM(C55:D55)</f>
        <v>442579591.10000002</v>
      </c>
      <c r="F55" s="98"/>
      <c r="G55" s="98"/>
      <c r="H55" s="98"/>
    </row>
    <row r="56" spans="1:8" s="8" customFormat="1" ht="12.75" customHeight="1" thickTop="1" thickBot="1" x14ac:dyDescent="0.25">
      <c r="A56" s="818" t="s">
        <v>209</v>
      </c>
      <c r="B56" s="819"/>
      <c r="C56" s="152">
        <f>C50</f>
        <v>354633072</v>
      </c>
      <c r="D56" s="152">
        <f>D55</f>
        <v>442579591.10000002</v>
      </c>
      <c r="E56" s="153">
        <f>D56+C56</f>
        <v>797212663.10000002</v>
      </c>
      <c r="F56" s="98"/>
      <c r="G56" s="98"/>
      <c r="H56" s="98"/>
    </row>
    <row r="57" spans="1:8" s="8" customFormat="1" ht="12.75" customHeight="1" thickTop="1" x14ac:dyDescent="0.2">
      <c r="A57" s="68" t="s">
        <v>38</v>
      </c>
      <c r="B57" s="69"/>
      <c r="C57" s="152"/>
      <c r="D57" s="152"/>
      <c r="E57" s="153"/>
    </row>
    <row r="58" spans="1:8" s="8" customFormat="1" ht="12.75" customHeight="1" x14ac:dyDescent="0.2">
      <c r="A58" s="70"/>
      <c r="B58" s="71" t="s">
        <v>62</v>
      </c>
      <c r="C58" s="154">
        <f>'3 bevételek'!F280</f>
        <v>163549189</v>
      </c>
      <c r="D58" s="154"/>
      <c r="E58" s="155">
        <f>D58+C58</f>
        <v>163549189</v>
      </c>
    </row>
    <row r="59" spans="1:8" s="8" customFormat="1" ht="6.75" customHeight="1" thickBot="1" x14ac:dyDescent="0.25">
      <c r="A59" s="72"/>
      <c r="B59" s="73"/>
      <c r="C59" s="156"/>
      <c r="D59" s="156"/>
      <c r="E59" s="157"/>
    </row>
    <row r="60" spans="1:8" s="9" customFormat="1" ht="15" customHeight="1" thickTop="1" thickBot="1" x14ac:dyDescent="0.25">
      <c r="A60" s="829" t="s">
        <v>152</v>
      </c>
      <c r="B60" s="830"/>
      <c r="C60" s="158">
        <f>SUM(C50,C55)+C58</f>
        <v>518182261</v>
      </c>
      <c r="D60" s="158">
        <f>SUM(D50,D55)+D58</f>
        <v>442579591.10000002</v>
      </c>
      <c r="E60" s="159">
        <f>SUM(C60:D60)</f>
        <v>960761852.10000002</v>
      </c>
      <c r="F60" s="31"/>
      <c r="G60" s="127"/>
      <c r="H60" s="31"/>
    </row>
    <row r="61" spans="1:8" x14ac:dyDescent="0.2">
      <c r="C61" s="74"/>
      <c r="D61" s="74"/>
      <c r="E61" s="74"/>
      <c r="G61" s="220"/>
      <c r="H61" s="99"/>
    </row>
    <row r="62" spans="1:8" x14ac:dyDescent="0.2">
      <c r="C62" s="94"/>
      <c r="D62" s="94"/>
      <c r="E62" s="94"/>
    </row>
    <row r="63" spans="1:8" x14ac:dyDescent="0.2">
      <c r="C63" s="74"/>
      <c r="D63" s="74"/>
      <c r="E63" s="74"/>
    </row>
    <row r="64" spans="1:8" x14ac:dyDescent="0.2">
      <c r="C64" s="74"/>
      <c r="D64" s="74"/>
      <c r="E64" s="74"/>
    </row>
    <row r="65" spans="3:6" x14ac:dyDescent="0.2">
      <c r="C65" s="74"/>
      <c r="D65" s="74"/>
      <c r="E65" s="74"/>
    </row>
    <row r="68" spans="3:6" x14ac:dyDescent="0.2">
      <c r="C68" s="94"/>
      <c r="D68" s="94"/>
      <c r="E68" s="94"/>
      <c r="F68" s="96"/>
    </row>
  </sheetData>
  <mergeCells count="15">
    <mergeCell ref="A60:B60"/>
    <mergeCell ref="A50:B50"/>
    <mergeCell ref="A55:B55"/>
    <mergeCell ref="A39:B39"/>
    <mergeCell ref="A43:E43"/>
    <mergeCell ref="A56:B56"/>
    <mergeCell ref="A40:B41"/>
    <mergeCell ref="E40:E41"/>
    <mergeCell ref="A29:B29"/>
    <mergeCell ref="A30:B30"/>
    <mergeCell ref="A31:B31"/>
    <mergeCell ref="C1:E1"/>
    <mergeCell ref="A8:B9"/>
    <mergeCell ref="E8:E9"/>
    <mergeCell ref="A11:E1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8"/>
  <sheetViews>
    <sheetView showGridLines="0" view="pageBreakPreview" topLeftCell="A269" zoomScaleNormal="80" zoomScaleSheetLayoutView="100" workbookViewId="0">
      <selection activeCell="A248" sqref="A1:H1048576"/>
    </sheetView>
  </sheetViews>
  <sheetFormatPr defaultRowHeight="12" customHeight="1" x14ac:dyDescent="0.2"/>
  <cols>
    <col min="1" max="1" width="3.140625" style="336" customWidth="1"/>
    <col min="2" max="2" width="3.85546875" style="336" customWidth="1"/>
    <col min="3" max="3" width="9.42578125" style="336" customWidth="1"/>
    <col min="4" max="4" width="11.5703125" style="336" customWidth="1"/>
    <col min="5" max="5" width="81" style="337" customWidth="1"/>
    <col min="6" max="6" width="13.7109375" style="334" customWidth="1"/>
    <col min="7" max="7" width="13.42578125" style="334" customWidth="1"/>
    <col min="8" max="8" width="14.42578125" style="334" customWidth="1"/>
    <col min="9" max="9" width="10.7109375" style="10" customWidth="1"/>
    <col min="10" max="10" width="16.140625" style="10" customWidth="1"/>
    <col min="11" max="11" width="12.140625" style="10" customWidth="1"/>
    <col min="12" max="12" width="11.85546875" style="10" customWidth="1"/>
    <col min="13" max="13" width="9.5703125" style="10" bestFit="1" customWidth="1"/>
    <col min="14" max="14" width="9.85546875" style="10" bestFit="1" customWidth="1"/>
    <col min="15" max="15" width="9.5703125" style="10" bestFit="1" customWidth="1"/>
    <col min="16" max="16384" width="9.140625" style="10"/>
  </cols>
  <sheetData>
    <row r="1" spans="1:12" ht="12" customHeight="1" x14ac:dyDescent="0.2">
      <c r="A1" s="321"/>
      <c r="B1" s="321"/>
      <c r="C1" s="321"/>
      <c r="D1" s="321"/>
      <c r="E1" s="838"/>
      <c r="F1" s="838"/>
      <c r="G1" s="838"/>
      <c r="H1" s="838"/>
    </row>
    <row r="2" spans="1:12" ht="15" customHeight="1" x14ac:dyDescent="0.2">
      <c r="A2" s="322"/>
      <c r="B2" s="322"/>
      <c r="C2" s="322"/>
      <c r="D2" s="322"/>
      <c r="E2" s="323"/>
      <c r="F2" s="324"/>
      <c r="G2" s="324"/>
      <c r="H2" s="324"/>
    </row>
    <row r="3" spans="1:12" ht="14.25" customHeight="1" thickBot="1" x14ac:dyDescent="0.25">
      <c r="A3" s="325"/>
      <c r="B3" s="325"/>
      <c r="C3" s="325"/>
      <c r="D3" s="325"/>
      <c r="E3" s="326"/>
      <c r="F3" s="327"/>
      <c r="G3" s="327"/>
      <c r="H3" s="328"/>
      <c r="I3" s="108"/>
      <c r="J3" s="108"/>
      <c r="K3" s="108"/>
      <c r="L3" s="108"/>
    </row>
    <row r="4" spans="1:12" ht="27" customHeight="1" x14ac:dyDescent="0.2">
      <c r="A4" s="739"/>
      <c r="B4" s="329"/>
      <c r="C4" s="866" t="s">
        <v>104</v>
      </c>
      <c r="D4" s="874" t="s">
        <v>204</v>
      </c>
      <c r="E4" s="868" t="s">
        <v>39</v>
      </c>
      <c r="F4" s="840" t="s">
        <v>166</v>
      </c>
      <c r="G4" s="840" t="s">
        <v>338</v>
      </c>
      <c r="H4" s="864" t="s">
        <v>30</v>
      </c>
      <c r="I4" s="108"/>
      <c r="J4" s="108"/>
      <c r="K4" s="108"/>
      <c r="L4" s="108"/>
    </row>
    <row r="5" spans="1:12" ht="29.25" customHeight="1" thickBot="1" x14ac:dyDescent="0.25">
      <c r="A5" s="740"/>
      <c r="B5" s="330"/>
      <c r="C5" s="867"/>
      <c r="D5" s="875"/>
      <c r="E5" s="869"/>
      <c r="F5" s="841"/>
      <c r="G5" s="841"/>
      <c r="H5" s="865"/>
      <c r="I5" s="108"/>
      <c r="J5" s="108"/>
      <c r="K5" s="108"/>
      <c r="L5" s="108"/>
    </row>
    <row r="6" spans="1:12" ht="21" customHeight="1" thickBot="1" x14ac:dyDescent="0.25">
      <c r="A6" s="870" t="s">
        <v>105</v>
      </c>
      <c r="B6" s="871"/>
      <c r="C6" s="871"/>
      <c r="D6" s="871"/>
      <c r="E6" s="871"/>
      <c r="F6" s="871"/>
      <c r="G6" s="871"/>
      <c r="H6" s="872"/>
      <c r="I6" s="108"/>
      <c r="J6" s="108"/>
      <c r="K6" s="108"/>
      <c r="L6" s="108"/>
    </row>
    <row r="7" spans="1:12" s="11" customFormat="1" ht="18" customHeight="1" x14ac:dyDescent="0.2">
      <c r="A7" s="688" t="s">
        <v>106</v>
      </c>
      <c r="B7" s="689"/>
      <c r="C7" s="734"/>
      <c r="D7" s="873" t="s">
        <v>87</v>
      </c>
      <c r="E7" s="873"/>
      <c r="F7" s="873"/>
      <c r="G7" s="873"/>
      <c r="H7" s="873"/>
      <c r="I7" s="109"/>
      <c r="J7" s="109"/>
      <c r="K7" s="109"/>
      <c r="L7" s="109"/>
    </row>
    <row r="8" spans="1:12" s="11" customFormat="1" ht="13.5" customHeight="1" x14ac:dyDescent="0.2">
      <c r="A8" s="835" t="s">
        <v>326</v>
      </c>
      <c r="B8" s="836"/>
      <c r="C8" s="836"/>
      <c r="D8" s="836"/>
      <c r="E8" s="837"/>
      <c r="F8" s="678">
        <f>F9+F10</f>
        <v>746480</v>
      </c>
      <c r="G8" s="678">
        <f>G9+G10</f>
        <v>0</v>
      </c>
      <c r="H8" s="678">
        <f>F8+G8</f>
        <v>746480</v>
      </c>
      <c r="I8" s="109"/>
      <c r="J8" s="109"/>
      <c r="K8" s="109"/>
      <c r="L8" s="109"/>
    </row>
    <row r="9" spans="1:12" s="11" customFormat="1" ht="11.25" customHeight="1" x14ac:dyDescent="0.2">
      <c r="A9" s="690"/>
      <c r="B9" s="690"/>
      <c r="C9" s="690"/>
      <c r="D9" s="690"/>
      <c r="E9" s="680" t="s">
        <v>83</v>
      </c>
      <c r="F9" s="678">
        <f>F13+F16+F19</f>
        <v>746480</v>
      </c>
      <c r="G9" s="678">
        <f>G13+G16+G19</f>
        <v>0</v>
      </c>
      <c r="H9" s="678">
        <f t="shared" ref="H9:H10" si="0">F9+G9</f>
        <v>746480</v>
      </c>
      <c r="I9" s="109"/>
      <c r="J9" s="109"/>
      <c r="K9" s="109"/>
      <c r="L9" s="109"/>
    </row>
    <row r="10" spans="1:12" s="11" customFormat="1" ht="12.75" customHeight="1" x14ac:dyDescent="0.2">
      <c r="A10" s="690"/>
      <c r="B10" s="690"/>
      <c r="C10" s="690"/>
      <c r="D10" s="690"/>
      <c r="E10" s="681" t="s">
        <v>84</v>
      </c>
      <c r="F10" s="678">
        <f>F14+F17+F20</f>
        <v>0</v>
      </c>
      <c r="G10" s="678">
        <f>G14+G17+G20</f>
        <v>0</v>
      </c>
      <c r="H10" s="678">
        <f t="shared" si="0"/>
        <v>0</v>
      </c>
      <c r="I10" s="109"/>
      <c r="J10" s="109"/>
      <c r="K10" s="109"/>
      <c r="L10" s="109"/>
    </row>
    <row r="11" spans="1:12" s="11" customFormat="1" ht="18" customHeight="1" x14ac:dyDescent="0.2">
      <c r="A11" s="732"/>
      <c r="B11" s="721">
        <v>1</v>
      </c>
      <c r="C11" s="691" t="s">
        <v>181</v>
      </c>
      <c r="D11" s="691" t="s">
        <v>72</v>
      </c>
      <c r="E11" s="331" t="s">
        <v>327</v>
      </c>
      <c r="F11" s="292"/>
      <c r="G11" s="292"/>
      <c r="H11" s="292">
        <f t="shared" ref="H11" si="1">F11+G11</f>
        <v>0</v>
      </c>
      <c r="I11" s="109"/>
      <c r="J11" s="109"/>
      <c r="K11" s="109"/>
      <c r="L11" s="109"/>
    </row>
    <row r="12" spans="1:12" s="11" customFormat="1" ht="12.75" customHeight="1" x14ac:dyDescent="0.2">
      <c r="A12" s="732"/>
      <c r="B12" s="721"/>
      <c r="C12" s="691"/>
      <c r="D12" s="691"/>
      <c r="E12" s="722" t="s">
        <v>257</v>
      </c>
      <c r="F12" s="292">
        <f>F13+F14</f>
        <v>746480</v>
      </c>
      <c r="G12" s="292">
        <f>G13+G14</f>
        <v>0</v>
      </c>
      <c r="H12" s="292">
        <f>F12+G12</f>
        <v>746480</v>
      </c>
      <c r="I12" s="109"/>
      <c r="J12" s="109"/>
      <c r="K12" s="109"/>
      <c r="L12" s="109"/>
    </row>
    <row r="13" spans="1:12" s="11" customFormat="1" ht="12.75" customHeight="1" x14ac:dyDescent="0.2">
      <c r="A13" s="732"/>
      <c r="B13" s="721"/>
      <c r="C13" s="691"/>
      <c r="D13" s="691"/>
      <c r="E13" s="297" t="s">
        <v>83</v>
      </c>
      <c r="F13" s="292">
        <f>529000+118934+98546</f>
        <v>746480</v>
      </c>
      <c r="G13" s="292"/>
      <c r="H13" s="292"/>
      <c r="I13" s="109"/>
      <c r="J13" s="109"/>
      <c r="K13" s="109"/>
      <c r="L13" s="109"/>
    </row>
    <row r="14" spans="1:12" s="11" customFormat="1" ht="12.75" x14ac:dyDescent="0.2">
      <c r="A14" s="732"/>
      <c r="B14" s="721"/>
      <c r="C14" s="691"/>
      <c r="D14" s="691"/>
      <c r="E14" s="299" t="s">
        <v>84</v>
      </c>
      <c r="F14" s="292"/>
      <c r="G14" s="292"/>
      <c r="H14" s="292"/>
      <c r="I14" s="109"/>
      <c r="J14" s="109"/>
      <c r="K14" s="109"/>
      <c r="L14" s="109"/>
    </row>
    <row r="15" spans="1:12" s="11" customFormat="1" ht="10.5" customHeight="1" x14ac:dyDescent="0.2">
      <c r="A15" s="732"/>
      <c r="B15" s="721"/>
      <c r="C15" s="691"/>
      <c r="D15" s="691"/>
      <c r="E15" s="722" t="s">
        <v>231</v>
      </c>
      <c r="F15" s="292">
        <f>F16+F17</f>
        <v>0</v>
      </c>
      <c r="G15" s="292">
        <f>G16+G17</f>
        <v>0</v>
      </c>
      <c r="H15" s="292">
        <f>F15+G15</f>
        <v>0</v>
      </c>
      <c r="I15" s="109"/>
      <c r="J15" s="109"/>
      <c r="K15" s="109"/>
      <c r="L15" s="109"/>
    </row>
    <row r="16" spans="1:12" s="11" customFormat="1" ht="12.75" customHeight="1" x14ac:dyDescent="0.2">
      <c r="A16" s="732"/>
      <c r="B16" s="721"/>
      <c r="C16" s="691"/>
      <c r="D16" s="691"/>
      <c r="E16" s="297" t="s">
        <v>83</v>
      </c>
      <c r="F16" s="292"/>
      <c r="G16" s="292"/>
      <c r="H16" s="292"/>
      <c r="I16" s="109"/>
      <c r="J16" s="109"/>
      <c r="K16" s="109"/>
      <c r="L16" s="109"/>
    </row>
    <row r="17" spans="1:12" s="11" customFormat="1" ht="13.5" customHeight="1" x14ac:dyDescent="0.2">
      <c r="A17" s="732"/>
      <c r="B17" s="721"/>
      <c r="C17" s="691"/>
      <c r="D17" s="691"/>
      <c r="E17" s="299" t="s">
        <v>84</v>
      </c>
      <c r="F17" s="292"/>
      <c r="G17" s="292"/>
      <c r="H17" s="292"/>
      <c r="I17" s="109"/>
      <c r="J17" s="109"/>
      <c r="K17" s="109"/>
      <c r="L17" s="109"/>
    </row>
    <row r="18" spans="1:12" s="11" customFormat="1" ht="13.5" customHeight="1" x14ac:dyDescent="0.2">
      <c r="A18" s="692"/>
      <c r="B18" s="692"/>
      <c r="C18" s="721"/>
      <c r="D18" s="693"/>
      <c r="E18" s="722" t="s">
        <v>232</v>
      </c>
      <c r="F18" s="292">
        <f>F19+F20</f>
        <v>0</v>
      </c>
      <c r="G18" s="292">
        <f>G19+G20</f>
        <v>0</v>
      </c>
      <c r="H18" s="292">
        <f>F18+G18</f>
        <v>0</v>
      </c>
      <c r="I18" s="109"/>
      <c r="J18" s="109"/>
      <c r="K18" s="109"/>
      <c r="L18" s="109"/>
    </row>
    <row r="19" spans="1:12" s="11" customFormat="1" ht="14.25" customHeight="1" x14ac:dyDescent="0.2">
      <c r="A19" s="692"/>
      <c r="B19" s="692"/>
      <c r="C19" s="721"/>
      <c r="D19" s="693"/>
      <c r="E19" s="297" t="s">
        <v>83</v>
      </c>
      <c r="F19" s="292"/>
      <c r="G19" s="292"/>
      <c r="H19" s="292"/>
      <c r="I19" s="109"/>
      <c r="J19" s="109"/>
      <c r="K19" s="109"/>
      <c r="L19" s="109"/>
    </row>
    <row r="20" spans="1:12" s="11" customFormat="1" ht="12" customHeight="1" x14ac:dyDescent="0.2">
      <c r="A20" s="692"/>
      <c r="B20" s="692"/>
      <c r="C20" s="721"/>
      <c r="D20" s="693"/>
      <c r="E20" s="299" t="s">
        <v>84</v>
      </c>
      <c r="F20" s="292"/>
      <c r="G20" s="292"/>
      <c r="H20" s="292"/>
      <c r="I20" s="109"/>
      <c r="J20" s="109"/>
      <c r="K20" s="109"/>
      <c r="L20" s="109"/>
    </row>
    <row r="21" spans="1:12" ht="15" customHeight="1" x14ac:dyDescent="0.2">
      <c r="A21" s="862" t="s">
        <v>127</v>
      </c>
      <c r="B21" s="862"/>
      <c r="C21" s="862"/>
      <c r="D21" s="862"/>
      <c r="E21" s="862"/>
      <c r="F21" s="678">
        <f>F22+F23</f>
        <v>14182573</v>
      </c>
      <c r="G21" s="678">
        <f>G24+G36+G60+G72+G84+G96+G108</f>
        <v>0</v>
      </c>
      <c r="H21" s="678">
        <f>F21+G21</f>
        <v>14182573</v>
      </c>
      <c r="I21" s="108">
        <f>14182573-H21</f>
        <v>0</v>
      </c>
      <c r="J21" s="108"/>
      <c r="K21" s="108"/>
      <c r="L21" s="108"/>
    </row>
    <row r="22" spans="1:12" ht="15" customHeight="1" x14ac:dyDescent="0.2">
      <c r="A22" s="723"/>
      <c r="B22" s="723"/>
      <c r="C22" s="723"/>
      <c r="D22" s="723"/>
      <c r="E22" s="680" t="s">
        <v>83</v>
      </c>
      <c r="F22" s="678">
        <f>F25+F37+F61+F73+F85+F97+F109+F49</f>
        <v>10742837</v>
      </c>
      <c r="G22" s="678">
        <f>G25+G37+G61+G73+G85+G97+G109</f>
        <v>0</v>
      </c>
      <c r="H22" s="678">
        <f>F22+G22</f>
        <v>10742837</v>
      </c>
      <c r="I22" s="108"/>
    </row>
    <row r="23" spans="1:12" ht="15" customHeight="1" x14ac:dyDescent="0.2">
      <c r="A23" s="723"/>
      <c r="B23" s="723"/>
      <c r="C23" s="723"/>
      <c r="D23" s="723"/>
      <c r="E23" s="681" t="s">
        <v>84</v>
      </c>
      <c r="F23" s="678">
        <f>F26+F38+F62+F74+F86+F98+F110+F50</f>
        <v>3439736</v>
      </c>
      <c r="G23" s="678">
        <f>G26+G38+G62+G74+G86+G98+G110</f>
        <v>0</v>
      </c>
      <c r="H23" s="678">
        <f>F23+G23</f>
        <v>3439736</v>
      </c>
      <c r="I23" s="108"/>
    </row>
    <row r="24" spans="1:12" s="26" customFormat="1" ht="15" customHeight="1" x14ac:dyDescent="0.2">
      <c r="A24" s="683"/>
      <c r="B24" s="694">
        <v>1</v>
      </c>
      <c r="C24" s="695" t="s">
        <v>168</v>
      </c>
      <c r="D24" s="695"/>
      <c r="E24" s="696" t="s">
        <v>185</v>
      </c>
      <c r="F24" s="685">
        <f>F25+F25</f>
        <v>0</v>
      </c>
      <c r="G24" s="685">
        <f>G25+G25</f>
        <v>0</v>
      </c>
      <c r="H24" s="685">
        <f>F24+G24</f>
        <v>0</v>
      </c>
      <c r="I24" s="110"/>
    </row>
    <row r="25" spans="1:12" s="26" customFormat="1" ht="15" customHeight="1" x14ac:dyDescent="0.2">
      <c r="A25" s="683"/>
      <c r="B25" s="694"/>
      <c r="C25" s="695"/>
      <c r="D25" s="695"/>
      <c r="E25" s="686" t="s">
        <v>83</v>
      </c>
      <c r="F25" s="685">
        <f>F28+F31+F34</f>
        <v>0</v>
      </c>
      <c r="G25" s="685">
        <f>G28+G31+G34</f>
        <v>0</v>
      </c>
      <c r="H25" s="685">
        <f t="shared" ref="H25:H26" si="2">F25+G25</f>
        <v>0</v>
      </c>
      <c r="I25" s="110"/>
    </row>
    <row r="26" spans="1:12" s="26" customFormat="1" ht="15" customHeight="1" x14ac:dyDescent="0.2">
      <c r="A26" s="683"/>
      <c r="B26" s="694"/>
      <c r="C26" s="695"/>
      <c r="D26" s="695"/>
      <c r="E26" s="687" t="s">
        <v>84</v>
      </c>
      <c r="F26" s="685">
        <f>F29+F32+F35</f>
        <v>0</v>
      </c>
      <c r="G26" s="685">
        <f>G29+G32+G35</f>
        <v>0</v>
      </c>
      <c r="H26" s="685">
        <f t="shared" si="2"/>
        <v>0</v>
      </c>
      <c r="I26" s="110"/>
    </row>
    <row r="27" spans="1:12" s="26" customFormat="1" ht="15" customHeight="1" x14ac:dyDescent="0.2">
      <c r="A27" s="332"/>
      <c r="B27" s="721"/>
      <c r="C27" s="697"/>
      <c r="D27" s="697"/>
      <c r="E27" s="722" t="s">
        <v>257</v>
      </c>
      <c r="F27" s="292">
        <f>F28+F29</f>
        <v>0</v>
      </c>
      <c r="G27" s="292">
        <f>G28+G29</f>
        <v>0</v>
      </c>
      <c r="H27" s="292">
        <f>F27+G27</f>
        <v>0</v>
      </c>
      <c r="I27" s="110"/>
    </row>
    <row r="28" spans="1:12" s="26" customFormat="1" ht="15" customHeight="1" x14ac:dyDescent="0.2">
      <c r="A28" s="332"/>
      <c r="B28" s="721"/>
      <c r="C28" s="697"/>
      <c r="D28" s="697"/>
      <c r="E28" s="297" t="s">
        <v>83</v>
      </c>
      <c r="F28" s="292"/>
      <c r="G28" s="292"/>
      <c r="H28" s="292"/>
      <c r="I28" s="110"/>
    </row>
    <row r="29" spans="1:12" s="26" customFormat="1" ht="15" customHeight="1" x14ac:dyDescent="0.2">
      <c r="A29" s="332"/>
      <c r="B29" s="721"/>
      <c r="C29" s="697"/>
      <c r="D29" s="697"/>
      <c r="E29" s="299" t="s">
        <v>84</v>
      </c>
      <c r="F29" s="292"/>
      <c r="G29" s="292"/>
      <c r="H29" s="292"/>
      <c r="I29" s="110"/>
    </row>
    <row r="30" spans="1:12" s="26" customFormat="1" ht="15" customHeight="1" x14ac:dyDescent="0.2">
      <c r="A30" s="332"/>
      <c r="B30" s="721"/>
      <c r="C30" s="697"/>
      <c r="D30" s="697"/>
      <c r="E30" s="722" t="s">
        <v>231</v>
      </c>
      <c r="F30" s="292">
        <f>F31+F32</f>
        <v>0</v>
      </c>
      <c r="G30" s="292">
        <f>G31+G32</f>
        <v>0</v>
      </c>
      <c r="H30" s="292">
        <f>F30+G30</f>
        <v>0</v>
      </c>
      <c r="I30" s="110"/>
      <c r="J30" s="110"/>
      <c r="K30" s="110"/>
      <c r="L30" s="110"/>
    </row>
    <row r="31" spans="1:12" s="26" customFormat="1" ht="15" customHeight="1" x14ac:dyDescent="0.2">
      <c r="A31" s="332"/>
      <c r="B31" s="721"/>
      <c r="C31" s="697"/>
      <c r="D31" s="697"/>
      <c r="E31" s="297" t="s">
        <v>83</v>
      </c>
      <c r="F31" s="292"/>
      <c r="G31" s="292"/>
      <c r="H31" s="292"/>
      <c r="I31" s="110"/>
      <c r="J31" s="110"/>
      <c r="K31" s="110"/>
      <c r="L31" s="110"/>
    </row>
    <row r="32" spans="1:12" s="26" customFormat="1" ht="15" customHeight="1" x14ac:dyDescent="0.2">
      <c r="A32" s="332"/>
      <c r="B32" s="721"/>
      <c r="C32" s="697"/>
      <c r="D32" s="697"/>
      <c r="E32" s="299" t="s">
        <v>84</v>
      </c>
      <c r="F32" s="292"/>
      <c r="G32" s="292"/>
      <c r="H32" s="292"/>
      <c r="I32" s="110"/>
      <c r="J32" s="110"/>
      <c r="K32" s="110"/>
      <c r="L32" s="110"/>
    </row>
    <row r="33" spans="1:12" s="26" customFormat="1" ht="15" customHeight="1" x14ac:dyDescent="0.2">
      <c r="A33" s="332"/>
      <c r="B33" s="721"/>
      <c r="C33" s="697"/>
      <c r="D33" s="697"/>
      <c r="E33" s="722" t="s">
        <v>232</v>
      </c>
      <c r="F33" s="292">
        <f>F34+F35</f>
        <v>0</v>
      </c>
      <c r="G33" s="292">
        <f>G34+G35</f>
        <v>0</v>
      </c>
      <c r="H33" s="292">
        <f>F33+G33</f>
        <v>0</v>
      </c>
      <c r="I33" s="110"/>
      <c r="J33" s="110"/>
      <c r="K33" s="110"/>
      <c r="L33" s="110"/>
    </row>
    <row r="34" spans="1:12" s="26" customFormat="1" ht="15" customHeight="1" x14ac:dyDescent="0.2">
      <c r="A34" s="332"/>
      <c r="B34" s="721"/>
      <c r="C34" s="697"/>
      <c r="D34" s="697"/>
      <c r="E34" s="297" t="s">
        <v>83</v>
      </c>
      <c r="F34" s="292"/>
      <c r="G34" s="292"/>
      <c r="H34" s="292"/>
      <c r="I34" s="110"/>
      <c r="J34" s="110"/>
      <c r="K34" s="110"/>
      <c r="L34" s="110"/>
    </row>
    <row r="35" spans="1:12" s="26" customFormat="1" ht="15" customHeight="1" x14ac:dyDescent="0.2">
      <c r="A35" s="332"/>
      <c r="B35" s="721"/>
      <c r="C35" s="697"/>
      <c r="D35" s="697"/>
      <c r="E35" s="299" t="s">
        <v>84</v>
      </c>
      <c r="F35" s="292"/>
      <c r="G35" s="292"/>
      <c r="H35" s="292"/>
      <c r="I35" s="110"/>
      <c r="J35" s="110"/>
      <c r="K35" s="110"/>
      <c r="L35" s="110"/>
    </row>
    <row r="36" spans="1:12" s="26" customFormat="1" ht="15" customHeight="1" x14ac:dyDescent="0.2">
      <c r="A36" s="682"/>
      <c r="B36" s="694">
        <v>2</v>
      </c>
      <c r="C36" s="694" t="s">
        <v>131</v>
      </c>
      <c r="D36" s="694"/>
      <c r="E36" s="698" t="s">
        <v>184</v>
      </c>
      <c r="F36" s="685">
        <f>F37+F38</f>
        <v>3816081</v>
      </c>
      <c r="G36" s="685">
        <f>G37+G38</f>
        <v>0</v>
      </c>
      <c r="H36" s="685">
        <f>+H72+H90+H102</f>
        <v>9706914</v>
      </c>
      <c r="I36" s="110"/>
      <c r="J36" s="110"/>
      <c r="K36" s="110"/>
      <c r="L36" s="110"/>
    </row>
    <row r="37" spans="1:12" s="26" customFormat="1" ht="15" customHeight="1" x14ac:dyDescent="0.2">
      <c r="A37" s="682"/>
      <c r="B37" s="694"/>
      <c r="C37" s="694"/>
      <c r="D37" s="694"/>
      <c r="E37" s="686" t="s">
        <v>83</v>
      </c>
      <c r="F37" s="685">
        <f>F40+F43+F46</f>
        <v>856692</v>
      </c>
      <c r="G37" s="685">
        <f>G40+G43+G46</f>
        <v>0</v>
      </c>
      <c r="H37" s="685">
        <f t="shared" ref="H37:H38" si="3">F37+G37</f>
        <v>856692</v>
      </c>
      <c r="I37" s="110"/>
      <c r="J37" s="110"/>
      <c r="K37" s="110"/>
      <c r="L37" s="110"/>
    </row>
    <row r="38" spans="1:12" s="26" customFormat="1" ht="15" customHeight="1" x14ac:dyDescent="0.2">
      <c r="A38" s="682"/>
      <c r="B38" s="694"/>
      <c r="C38" s="694"/>
      <c r="D38" s="694"/>
      <c r="E38" s="687" t="s">
        <v>84</v>
      </c>
      <c r="F38" s="685">
        <f>F41+F44+F47</f>
        <v>2959389</v>
      </c>
      <c r="G38" s="685">
        <f>G41+G44+G47</f>
        <v>0</v>
      </c>
      <c r="H38" s="685">
        <f t="shared" si="3"/>
        <v>2959389</v>
      </c>
      <c r="I38" s="110"/>
      <c r="J38" s="110"/>
      <c r="K38" s="110"/>
      <c r="L38" s="110"/>
    </row>
    <row r="39" spans="1:12" s="26" customFormat="1" ht="15" customHeight="1" x14ac:dyDescent="0.2">
      <c r="A39" s="732"/>
      <c r="B39" s="721"/>
      <c r="C39" s="721"/>
      <c r="D39" s="721"/>
      <c r="E39" s="722" t="s">
        <v>257</v>
      </c>
      <c r="F39" s="292"/>
      <c r="G39" s="292"/>
      <c r="H39" s="292">
        <f>F39+G39</f>
        <v>0</v>
      </c>
      <c r="I39" s="110"/>
      <c r="J39" s="110"/>
      <c r="K39" s="110"/>
      <c r="L39" s="110"/>
    </row>
    <row r="40" spans="1:12" s="26" customFormat="1" ht="15" customHeight="1" x14ac:dyDescent="0.2">
      <c r="A40" s="732"/>
      <c r="B40" s="721"/>
      <c r="C40" s="721"/>
      <c r="D40" s="721"/>
      <c r="E40" s="297" t="s">
        <v>83</v>
      </c>
      <c r="F40" s="292">
        <f>856692</f>
        <v>856692</v>
      </c>
      <c r="G40" s="292"/>
      <c r="H40" s="292">
        <f t="shared" ref="H40:H41" si="4">F40+G40</f>
        <v>856692</v>
      </c>
      <c r="I40" s="110"/>
      <c r="J40" s="110"/>
      <c r="K40" s="110"/>
      <c r="L40" s="110"/>
    </row>
    <row r="41" spans="1:12" s="26" customFormat="1" ht="15" customHeight="1" x14ac:dyDescent="0.2">
      <c r="A41" s="732"/>
      <c r="B41" s="721"/>
      <c r="C41" s="721"/>
      <c r="D41" s="721"/>
      <c r="E41" s="299" t="s">
        <v>84</v>
      </c>
      <c r="F41" s="292"/>
      <c r="G41" s="292"/>
      <c r="H41" s="292">
        <f t="shared" si="4"/>
        <v>0</v>
      </c>
      <c r="I41" s="110"/>
      <c r="J41" s="110"/>
      <c r="K41" s="110"/>
      <c r="L41" s="110"/>
    </row>
    <row r="42" spans="1:12" s="26" customFormat="1" ht="15" customHeight="1" x14ac:dyDescent="0.2">
      <c r="A42" s="732"/>
      <c r="B42" s="721"/>
      <c r="C42" s="721"/>
      <c r="D42" s="721"/>
      <c r="E42" s="722" t="s">
        <v>231</v>
      </c>
      <c r="F42" s="292"/>
      <c r="G42" s="292"/>
      <c r="H42" s="292">
        <f>F42+G42</f>
        <v>0</v>
      </c>
      <c r="I42" s="110"/>
      <c r="J42" s="110"/>
      <c r="K42" s="110"/>
      <c r="L42" s="110"/>
    </row>
    <row r="43" spans="1:12" s="26" customFormat="1" ht="15" customHeight="1" x14ac:dyDescent="0.2">
      <c r="A43" s="732"/>
      <c r="B43" s="721"/>
      <c r="C43" s="721"/>
      <c r="D43" s="721"/>
      <c r="E43" s="297" t="s">
        <v>83</v>
      </c>
      <c r="F43" s="292">
        <v>0</v>
      </c>
      <c r="G43" s="292"/>
      <c r="H43" s="292">
        <f t="shared" ref="H43:H44" si="5">F43+G43</f>
        <v>0</v>
      </c>
      <c r="I43" s="110"/>
      <c r="J43" s="110"/>
      <c r="K43" s="110"/>
      <c r="L43" s="110"/>
    </row>
    <row r="44" spans="1:12" s="26" customFormat="1" ht="15" customHeight="1" x14ac:dyDescent="0.2">
      <c r="A44" s="732"/>
      <c r="B44" s="721"/>
      <c r="C44" s="721"/>
      <c r="D44" s="721"/>
      <c r="E44" s="299" t="s">
        <v>84</v>
      </c>
      <c r="F44" s="292">
        <f>2959389</f>
        <v>2959389</v>
      </c>
      <c r="G44" s="292"/>
      <c r="H44" s="292">
        <f t="shared" si="5"/>
        <v>2959389</v>
      </c>
      <c r="I44" s="110"/>
      <c r="J44" s="110"/>
      <c r="K44" s="110"/>
      <c r="L44" s="110"/>
    </row>
    <row r="45" spans="1:12" s="26" customFormat="1" ht="15" customHeight="1" x14ac:dyDescent="0.2">
      <c r="A45" s="732"/>
      <c r="B45" s="721"/>
      <c r="C45" s="721"/>
      <c r="D45" s="721"/>
      <c r="E45" s="722" t="s">
        <v>232</v>
      </c>
      <c r="F45" s="292"/>
      <c r="G45" s="292"/>
      <c r="H45" s="292"/>
      <c r="I45" s="110"/>
      <c r="J45" s="110"/>
      <c r="K45" s="110"/>
      <c r="L45" s="110"/>
    </row>
    <row r="46" spans="1:12" s="26" customFormat="1" ht="15" customHeight="1" x14ac:dyDescent="0.2">
      <c r="A46" s="732"/>
      <c r="B46" s="721"/>
      <c r="C46" s="721"/>
      <c r="D46" s="721"/>
      <c r="E46" s="297" t="s">
        <v>83</v>
      </c>
      <c r="F46" s="292"/>
      <c r="G46" s="292"/>
      <c r="H46" s="292"/>
      <c r="I46" s="110"/>
      <c r="J46" s="110"/>
      <c r="K46" s="110"/>
      <c r="L46" s="110"/>
    </row>
    <row r="47" spans="1:12" s="26" customFormat="1" ht="15" customHeight="1" x14ac:dyDescent="0.2">
      <c r="A47" s="732"/>
      <c r="B47" s="721"/>
      <c r="C47" s="721"/>
      <c r="D47" s="721"/>
      <c r="E47" s="299" t="s">
        <v>84</v>
      </c>
      <c r="F47" s="292"/>
      <c r="G47" s="292"/>
      <c r="H47" s="292"/>
      <c r="I47" s="110"/>
      <c r="J47" s="110"/>
      <c r="K47" s="110"/>
      <c r="L47" s="110"/>
    </row>
    <row r="48" spans="1:12" s="26" customFormat="1" ht="15" customHeight="1" x14ac:dyDescent="0.2">
      <c r="A48" s="682"/>
      <c r="B48" s="694">
        <v>3</v>
      </c>
      <c r="C48" s="694" t="s">
        <v>129</v>
      </c>
      <c r="D48" s="694"/>
      <c r="E48" s="698" t="s">
        <v>344</v>
      </c>
      <c r="F48" s="685">
        <f>F49+F50</f>
        <v>280652</v>
      </c>
      <c r="G48" s="685">
        <f>G49+G50</f>
        <v>0</v>
      </c>
      <c r="H48" s="685">
        <f>+H84+H102+H114</f>
        <v>2687290</v>
      </c>
      <c r="I48" s="110"/>
      <c r="J48" s="110"/>
      <c r="K48" s="110"/>
      <c r="L48" s="110"/>
    </row>
    <row r="49" spans="1:12" s="26" customFormat="1" ht="15" customHeight="1" x14ac:dyDescent="0.2">
      <c r="A49" s="682"/>
      <c r="B49" s="694"/>
      <c r="C49" s="694"/>
      <c r="D49" s="694"/>
      <c r="E49" s="686" t="s">
        <v>83</v>
      </c>
      <c r="F49" s="685">
        <f>F52+F55+F58</f>
        <v>280652</v>
      </c>
      <c r="G49" s="685">
        <f>G52+G55+G58</f>
        <v>0</v>
      </c>
      <c r="H49" s="685">
        <f t="shared" ref="H49:H50" si="6">F49+G49</f>
        <v>280652</v>
      </c>
      <c r="I49" s="110"/>
      <c r="J49" s="110"/>
      <c r="K49" s="110"/>
      <c r="L49" s="110"/>
    </row>
    <row r="50" spans="1:12" s="26" customFormat="1" ht="15" customHeight="1" x14ac:dyDescent="0.2">
      <c r="A50" s="682"/>
      <c r="B50" s="694"/>
      <c r="C50" s="694"/>
      <c r="D50" s="694"/>
      <c r="E50" s="687" t="s">
        <v>84</v>
      </c>
      <c r="F50" s="685">
        <f>F53+F56+F59</f>
        <v>0</v>
      </c>
      <c r="G50" s="685">
        <f>G53+G56+G59</f>
        <v>0</v>
      </c>
      <c r="H50" s="685">
        <f t="shared" si="6"/>
        <v>0</v>
      </c>
      <c r="I50" s="110"/>
      <c r="J50" s="110"/>
      <c r="K50" s="110"/>
      <c r="L50" s="110"/>
    </row>
    <row r="51" spans="1:12" s="26" customFormat="1" ht="15" customHeight="1" x14ac:dyDescent="0.2">
      <c r="A51" s="732"/>
      <c r="B51" s="721"/>
      <c r="C51" s="721"/>
      <c r="D51" s="721"/>
      <c r="E51" s="722" t="s">
        <v>257</v>
      </c>
      <c r="F51" s="292"/>
      <c r="G51" s="292"/>
      <c r="H51" s="292">
        <f>F51+G51</f>
        <v>0</v>
      </c>
      <c r="I51" s="110"/>
      <c r="J51" s="110"/>
      <c r="K51" s="110"/>
      <c r="L51" s="110"/>
    </row>
    <row r="52" spans="1:12" s="26" customFormat="1" ht="15" customHeight="1" x14ac:dyDescent="0.2">
      <c r="A52" s="732"/>
      <c r="B52" s="721"/>
      <c r="C52" s="721"/>
      <c r="D52" s="721"/>
      <c r="E52" s="297" t="s">
        <v>83</v>
      </c>
      <c r="F52" s="292">
        <v>280652</v>
      </c>
      <c r="G52" s="292"/>
      <c r="H52" s="292">
        <f t="shared" ref="H52:H53" si="7">F52+G52</f>
        <v>280652</v>
      </c>
      <c r="I52" s="110"/>
      <c r="J52" s="110"/>
      <c r="K52" s="110"/>
      <c r="L52" s="110"/>
    </row>
    <row r="53" spans="1:12" s="26" customFormat="1" ht="15" customHeight="1" x14ac:dyDescent="0.2">
      <c r="A53" s="732"/>
      <c r="B53" s="721"/>
      <c r="C53" s="721"/>
      <c r="D53" s="721"/>
      <c r="E53" s="299" t="s">
        <v>84</v>
      </c>
      <c r="F53" s="292"/>
      <c r="G53" s="292"/>
      <c r="H53" s="292">
        <f t="shared" si="7"/>
        <v>0</v>
      </c>
      <c r="I53" s="110"/>
      <c r="J53" s="110"/>
      <c r="K53" s="110"/>
      <c r="L53" s="110"/>
    </row>
    <row r="54" spans="1:12" s="26" customFormat="1" ht="15" customHeight="1" x14ac:dyDescent="0.2">
      <c r="A54" s="732"/>
      <c r="B54" s="721"/>
      <c r="C54" s="721"/>
      <c r="D54" s="721"/>
      <c r="E54" s="722" t="s">
        <v>231</v>
      </c>
      <c r="F54" s="292"/>
      <c r="G54" s="292"/>
      <c r="H54" s="292">
        <f>F54+G54</f>
        <v>0</v>
      </c>
      <c r="I54" s="110"/>
      <c r="J54" s="110"/>
      <c r="K54" s="110"/>
      <c r="L54" s="110"/>
    </row>
    <row r="55" spans="1:12" s="26" customFormat="1" ht="15" customHeight="1" x14ac:dyDescent="0.2">
      <c r="A55" s="732"/>
      <c r="B55" s="721"/>
      <c r="C55" s="721"/>
      <c r="D55" s="721"/>
      <c r="E55" s="297" t="s">
        <v>83</v>
      </c>
      <c r="F55" s="292"/>
      <c r="G55" s="292"/>
      <c r="H55" s="292">
        <f t="shared" ref="H55:H56" si="8">F55+G55</f>
        <v>0</v>
      </c>
      <c r="I55" s="110"/>
      <c r="J55" s="110"/>
      <c r="K55" s="110"/>
      <c r="L55" s="110"/>
    </row>
    <row r="56" spans="1:12" s="26" customFormat="1" ht="15" customHeight="1" x14ac:dyDescent="0.2">
      <c r="A56" s="732"/>
      <c r="B56" s="721"/>
      <c r="C56" s="721"/>
      <c r="D56" s="721"/>
      <c r="E56" s="299" t="s">
        <v>84</v>
      </c>
      <c r="F56" s="292">
        <v>0</v>
      </c>
      <c r="G56" s="292"/>
      <c r="H56" s="292">
        <f t="shared" si="8"/>
        <v>0</v>
      </c>
      <c r="I56" s="110"/>
      <c r="J56" s="110"/>
      <c r="K56" s="110"/>
      <c r="L56" s="110"/>
    </row>
    <row r="57" spans="1:12" s="26" customFormat="1" ht="15" customHeight="1" x14ac:dyDescent="0.2">
      <c r="A57" s="732"/>
      <c r="B57" s="721"/>
      <c r="C57" s="721"/>
      <c r="D57" s="721"/>
      <c r="E57" s="722" t="s">
        <v>232</v>
      </c>
      <c r="F57" s="292"/>
      <c r="G57" s="292"/>
      <c r="H57" s="292"/>
      <c r="I57" s="110"/>
      <c r="J57" s="110"/>
      <c r="K57" s="110"/>
      <c r="L57" s="110"/>
    </row>
    <row r="58" spans="1:12" s="26" customFormat="1" ht="15" customHeight="1" x14ac:dyDescent="0.2">
      <c r="A58" s="732"/>
      <c r="B58" s="721"/>
      <c r="C58" s="721"/>
      <c r="D58" s="721"/>
      <c r="E58" s="297" t="s">
        <v>83</v>
      </c>
      <c r="F58" s="292"/>
      <c r="G58" s="292"/>
      <c r="H58" s="292"/>
      <c r="I58" s="110"/>
      <c r="J58" s="110"/>
      <c r="K58" s="110"/>
      <c r="L58" s="110"/>
    </row>
    <row r="59" spans="1:12" s="26" customFormat="1" ht="15" customHeight="1" x14ac:dyDescent="0.2">
      <c r="A59" s="732"/>
      <c r="B59" s="721"/>
      <c r="C59" s="721"/>
      <c r="D59" s="721"/>
      <c r="E59" s="299" t="s">
        <v>84</v>
      </c>
      <c r="F59" s="292"/>
      <c r="G59" s="292"/>
      <c r="H59" s="292"/>
      <c r="I59" s="110"/>
      <c r="J59" s="110"/>
      <c r="K59" s="110"/>
      <c r="L59" s="110"/>
    </row>
    <row r="60" spans="1:12" s="26" customFormat="1" ht="15" customHeight="1" x14ac:dyDescent="0.2">
      <c r="A60" s="682"/>
      <c r="B60" s="694">
        <v>4</v>
      </c>
      <c r="C60" s="694" t="s">
        <v>128</v>
      </c>
      <c r="D60" s="694"/>
      <c r="E60" s="698" t="s">
        <v>188</v>
      </c>
      <c r="F60" s="685">
        <f>F61+F62</f>
        <v>0</v>
      </c>
      <c r="G60" s="685">
        <f>G61+G62</f>
        <v>0</v>
      </c>
      <c r="H60" s="685">
        <f t="shared" ref="H60:H107" si="9">F60</f>
        <v>0</v>
      </c>
      <c r="I60" s="110"/>
      <c r="J60" s="110"/>
      <c r="K60" s="110"/>
      <c r="L60" s="110"/>
    </row>
    <row r="61" spans="1:12" s="26" customFormat="1" ht="15" customHeight="1" x14ac:dyDescent="0.2">
      <c r="A61" s="682"/>
      <c r="B61" s="694"/>
      <c r="C61" s="694"/>
      <c r="D61" s="694"/>
      <c r="E61" s="686" t="s">
        <v>83</v>
      </c>
      <c r="F61" s="685">
        <f>F64+F67+F70</f>
        <v>0</v>
      </c>
      <c r="G61" s="685">
        <f>G64+G67+G70</f>
        <v>0</v>
      </c>
      <c r="H61" s="685">
        <f t="shared" si="9"/>
        <v>0</v>
      </c>
      <c r="I61" s="110"/>
      <c r="J61" s="110"/>
      <c r="K61" s="110"/>
      <c r="L61" s="110"/>
    </row>
    <row r="62" spans="1:12" s="26" customFormat="1" ht="15" customHeight="1" x14ac:dyDescent="0.2">
      <c r="A62" s="682"/>
      <c r="B62" s="694"/>
      <c r="C62" s="694"/>
      <c r="D62" s="694"/>
      <c r="E62" s="687" t="s">
        <v>84</v>
      </c>
      <c r="F62" s="685">
        <f>F65+F68+F71</f>
        <v>0</v>
      </c>
      <c r="G62" s="685">
        <f>G65+G68+G71</f>
        <v>0</v>
      </c>
      <c r="H62" s="685">
        <f t="shared" si="9"/>
        <v>0</v>
      </c>
      <c r="I62" s="110"/>
      <c r="J62" s="110"/>
      <c r="K62" s="110"/>
      <c r="L62" s="110"/>
    </row>
    <row r="63" spans="1:12" s="26" customFormat="1" ht="15" customHeight="1" x14ac:dyDescent="0.2">
      <c r="A63" s="732"/>
      <c r="B63" s="721"/>
      <c r="C63" s="721"/>
      <c r="D63" s="721"/>
      <c r="E63" s="722" t="s">
        <v>257</v>
      </c>
      <c r="F63" s="292"/>
      <c r="G63" s="292">
        <f>G64+G65</f>
        <v>0</v>
      </c>
      <c r="H63" s="292">
        <f t="shared" si="9"/>
        <v>0</v>
      </c>
      <c r="I63" s="110"/>
      <c r="J63" s="110"/>
      <c r="K63" s="110"/>
      <c r="L63" s="110"/>
    </row>
    <row r="64" spans="1:12" s="26" customFormat="1" ht="15" customHeight="1" x14ac:dyDescent="0.2">
      <c r="A64" s="732"/>
      <c r="B64" s="721"/>
      <c r="C64" s="721"/>
      <c r="D64" s="721"/>
      <c r="E64" s="297" t="s">
        <v>83</v>
      </c>
      <c r="F64" s="292"/>
      <c r="G64" s="292"/>
      <c r="H64" s="292">
        <f t="shared" si="9"/>
        <v>0</v>
      </c>
      <c r="I64" s="110"/>
      <c r="J64" s="110"/>
      <c r="K64" s="110"/>
      <c r="L64" s="110"/>
    </row>
    <row r="65" spans="1:14" s="26" customFormat="1" ht="15" customHeight="1" x14ac:dyDescent="0.2">
      <c r="A65" s="732"/>
      <c r="B65" s="721"/>
      <c r="C65" s="721"/>
      <c r="D65" s="721"/>
      <c r="E65" s="299" t="s">
        <v>84</v>
      </c>
      <c r="F65" s="292"/>
      <c r="G65" s="292"/>
      <c r="H65" s="292">
        <f t="shared" si="9"/>
        <v>0</v>
      </c>
      <c r="I65" s="110"/>
      <c r="J65" s="110"/>
      <c r="K65" s="110"/>
      <c r="L65" s="110"/>
    </row>
    <row r="66" spans="1:14" s="26" customFormat="1" ht="15" customHeight="1" x14ac:dyDescent="0.2">
      <c r="A66" s="732"/>
      <c r="B66" s="721"/>
      <c r="C66" s="721"/>
      <c r="D66" s="721"/>
      <c r="E66" s="722" t="s">
        <v>231</v>
      </c>
      <c r="F66" s="292"/>
      <c r="G66" s="292">
        <f>G67+G68</f>
        <v>0</v>
      </c>
      <c r="H66" s="292">
        <f t="shared" si="9"/>
        <v>0</v>
      </c>
      <c r="I66" s="110"/>
      <c r="J66" s="110"/>
      <c r="K66" s="110"/>
      <c r="L66" s="110"/>
    </row>
    <row r="67" spans="1:14" s="26" customFormat="1" ht="15" customHeight="1" x14ac:dyDescent="0.2">
      <c r="A67" s="732"/>
      <c r="B67" s="721"/>
      <c r="C67" s="721"/>
      <c r="D67" s="721"/>
      <c r="E67" s="297" t="s">
        <v>83</v>
      </c>
      <c r="F67" s="292"/>
      <c r="G67" s="292"/>
      <c r="H67" s="292">
        <f t="shared" si="9"/>
        <v>0</v>
      </c>
      <c r="I67" s="110"/>
      <c r="J67" s="110"/>
      <c r="K67" s="110"/>
      <c r="L67" s="110"/>
    </row>
    <row r="68" spans="1:14" s="26" customFormat="1" ht="15" customHeight="1" x14ac:dyDescent="0.2">
      <c r="A68" s="732"/>
      <c r="B68" s="721"/>
      <c r="C68" s="721"/>
      <c r="D68" s="721"/>
      <c r="E68" s="299" t="s">
        <v>84</v>
      </c>
      <c r="F68" s="292"/>
      <c r="G68" s="292"/>
      <c r="H68" s="292">
        <f t="shared" si="9"/>
        <v>0</v>
      </c>
      <c r="I68" s="110"/>
      <c r="J68" s="110"/>
      <c r="K68" s="110"/>
      <c r="L68" s="110"/>
    </row>
    <row r="69" spans="1:14" s="26" customFormat="1" ht="15" customHeight="1" x14ac:dyDescent="0.2">
      <c r="A69" s="732"/>
      <c r="B69" s="721"/>
      <c r="C69" s="721"/>
      <c r="D69" s="721"/>
      <c r="E69" s="722" t="s">
        <v>232</v>
      </c>
      <c r="F69" s="292"/>
      <c r="G69" s="292">
        <f>G70+G71</f>
        <v>0</v>
      </c>
      <c r="H69" s="292">
        <f t="shared" si="9"/>
        <v>0</v>
      </c>
      <c r="I69" s="110"/>
      <c r="J69" s="110"/>
      <c r="K69" s="110"/>
      <c r="L69" s="110"/>
    </row>
    <row r="70" spans="1:14" s="26" customFormat="1" ht="15" customHeight="1" x14ac:dyDescent="0.2">
      <c r="A70" s="732"/>
      <c r="B70" s="721"/>
      <c r="C70" s="721"/>
      <c r="D70" s="721"/>
      <c r="E70" s="297" t="s">
        <v>83</v>
      </c>
      <c r="F70" s="292"/>
      <c r="G70" s="292"/>
      <c r="H70" s="292">
        <f t="shared" si="9"/>
        <v>0</v>
      </c>
      <c r="I70" s="110"/>
      <c r="J70" s="110"/>
      <c r="K70" s="110"/>
      <c r="L70" s="110"/>
    </row>
    <row r="71" spans="1:14" s="26" customFormat="1" ht="15" customHeight="1" x14ac:dyDescent="0.2">
      <c r="A71" s="732"/>
      <c r="B71" s="721"/>
      <c r="C71" s="721"/>
      <c r="D71" s="721"/>
      <c r="E71" s="299" t="s">
        <v>84</v>
      </c>
      <c r="F71" s="292"/>
      <c r="G71" s="292"/>
      <c r="H71" s="292">
        <f t="shared" si="9"/>
        <v>0</v>
      </c>
      <c r="I71" s="110"/>
      <c r="J71" s="110"/>
      <c r="K71" s="110"/>
      <c r="L71" s="110"/>
    </row>
    <row r="72" spans="1:14" s="26" customFormat="1" ht="15" customHeight="1" x14ac:dyDescent="0.2">
      <c r="A72" s="682"/>
      <c r="B72" s="694">
        <v>5</v>
      </c>
      <c r="C72" s="694" t="s">
        <v>203</v>
      </c>
      <c r="D72" s="694"/>
      <c r="E72" s="698" t="s">
        <v>200</v>
      </c>
      <c r="F72" s="685">
        <f>F73+F74</f>
        <v>7275087</v>
      </c>
      <c r="G72" s="685">
        <f>G73+G74</f>
        <v>0</v>
      </c>
      <c r="H72" s="685">
        <f t="shared" si="9"/>
        <v>7275087</v>
      </c>
      <c r="I72" s="110"/>
      <c r="J72" s="110"/>
      <c r="K72" s="240"/>
      <c r="L72" s="241"/>
      <c r="M72" s="241"/>
      <c r="N72" s="241"/>
    </row>
    <row r="73" spans="1:14" s="26" customFormat="1" ht="15" customHeight="1" x14ac:dyDescent="0.2">
      <c r="A73" s="732"/>
      <c r="B73" s="694"/>
      <c r="C73" s="694"/>
      <c r="D73" s="694"/>
      <c r="E73" s="686" t="s">
        <v>83</v>
      </c>
      <c r="F73" s="685">
        <f>F76+F79+F82</f>
        <v>7275087</v>
      </c>
      <c r="G73" s="685">
        <f>G76+G79+G82</f>
        <v>0</v>
      </c>
      <c r="H73" s="685">
        <f t="shared" si="9"/>
        <v>7275087</v>
      </c>
      <c r="I73" s="110"/>
      <c r="J73" s="110"/>
      <c r="K73" s="240"/>
      <c r="L73" s="241"/>
      <c r="M73" s="241"/>
      <c r="N73" s="241"/>
    </row>
    <row r="74" spans="1:14" s="26" customFormat="1" ht="15" customHeight="1" x14ac:dyDescent="0.2">
      <c r="A74" s="732"/>
      <c r="B74" s="694"/>
      <c r="C74" s="694"/>
      <c r="D74" s="694"/>
      <c r="E74" s="687" t="s">
        <v>84</v>
      </c>
      <c r="F74" s="685">
        <f>F77+F80+F83</f>
        <v>0</v>
      </c>
      <c r="G74" s="685">
        <f>G77+G80+G83</f>
        <v>0</v>
      </c>
      <c r="H74" s="685">
        <f t="shared" si="9"/>
        <v>0</v>
      </c>
      <c r="I74" s="110"/>
      <c r="J74" s="110"/>
      <c r="K74" s="240"/>
      <c r="L74" s="241"/>
      <c r="M74" s="241"/>
      <c r="N74" s="241"/>
    </row>
    <row r="75" spans="1:14" s="26" customFormat="1" ht="15" customHeight="1" x14ac:dyDescent="0.2">
      <c r="A75" s="732"/>
      <c r="B75" s="721"/>
      <c r="C75" s="721"/>
      <c r="D75" s="721"/>
      <c r="E75" s="722" t="s">
        <v>257</v>
      </c>
      <c r="F75" s="292">
        <f>F76+F77</f>
        <v>0</v>
      </c>
      <c r="G75" s="292">
        <f>G76+G77</f>
        <v>0</v>
      </c>
      <c r="H75" s="292">
        <f t="shared" si="9"/>
        <v>0</v>
      </c>
      <c r="I75" s="110"/>
      <c r="J75" s="110"/>
      <c r="K75" s="240"/>
      <c r="L75" s="241"/>
      <c r="M75" s="241"/>
      <c r="N75" s="241"/>
    </row>
    <row r="76" spans="1:14" s="26" customFormat="1" ht="15" customHeight="1" x14ac:dyDescent="0.2">
      <c r="A76" s="732"/>
      <c r="B76" s="721"/>
      <c r="C76" s="721"/>
      <c r="D76" s="721"/>
      <c r="E76" s="297" t="s">
        <v>83</v>
      </c>
      <c r="F76" s="292"/>
      <c r="G76" s="292"/>
      <c r="H76" s="292">
        <f t="shared" si="9"/>
        <v>0</v>
      </c>
      <c r="I76" s="110"/>
      <c r="J76" s="110"/>
      <c r="K76" s="240"/>
      <c r="L76" s="241"/>
      <c r="M76" s="241"/>
      <c r="N76" s="241"/>
    </row>
    <row r="77" spans="1:14" s="26" customFormat="1" ht="15" customHeight="1" x14ac:dyDescent="0.2">
      <c r="A77" s="732"/>
      <c r="B77" s="721"/>
      <c r="C77" s="721"/>
      <c r="D77" s="721"/>
      <c r="E77" s="299" t="s">
        <v>84</v>
      </c>
      <c r="F77" s="292"/>
      <c r="G77" s="292"/>
      <c r="H77" s="292">
        <f t="shared" si="9"/>
        <v>0</v>
      </c>
      <c r="I77" s="110"/>
      <c r="J77" s="110"/>
      <c r="K77" s="240"/>
      <c r="L77" s="241"/>
      <c r="M77" s="241"/>
      <c r="N77" s="241"/>
    </row>
    <row r="78" spans="1:14" s="26" customFormat="1" ht="15" customHeight="1" x14ac:dyDescent="0.2">
      <c r="A78" s="732"/>
      <c r="B78" s="721"/>
      <c r="C78" s="721"/>
      <c r="D78" s="721"/>
      <c r="E78" s="722" t="s">
        <v>231</v>
      </c>
      <c r="F78" s="292"/>
      <c r="G78" s="292">
        <v>0</v>
      </c>
      <c r="H78" s="292">
        <f>F78+G78</f>
        <v>0</v>
      </c>
      <c r="I78" s="110"/>
      <c r="J78" s="110"/>
      <c r="K78" s="240"/>
      <c r="L78" s="241"/>
      <c r="M78" s="241"/>
      <c r="N78" s="241"/>
    </row>
    <row r="79" spans="1:14" s="26" customFormat="1" ht="15" customHeight="1" x14ac:dyDescent="0.2">
      <c r="A79" s="732"/>
      <c r="B79" s="721"/>
      <c r="C79" s="721"/>
      <c r="D79" s="721"/>
      <c r="E79" s="297" t="s">
        <v>83</v>
      </c>
      <c r="F79" s="292">
        <v>7275087</v>
      </c>
      <c r="G79" s="292">
        <v>0</v>
      </c>
      <c r="H79" s="292">
        <f>F79+G79</f>
        <v>7275087</v>
      </c>
      <c r="I79" s="110"/>
      <c r="J79" s="110"/>
      <c r="K79" s="242"/>
      <c r="L79" s="243"/>
      <c r="M79" s="243"/>
      <c r="N79" s="243"/>
    </row>
    <row r="80" spans="1:14" s="26" customFormat="1" ht="15" customHeight="1" x14ac:dyDescent="0.2">
      <c r="A80" s="732"/>
      <c r="B80" s="721"/>
      <c r="C80" s="721"/>
      <c r="D80" s="721"/>
      <c r="E80" s="299" t="s">
        <v>84</v>
      </c>
      <c r="F80" s="292"/>
      <c r="G80" s="292"/>
      <c r="H80" s="292">
        <f t="shared" si="9"/>
        <v>0</v>
      </c>
      <c r="I80" s="110"/>
      <c r="J80" s="110"/>
      <c r="K80" s="110"/>
      <c r="L80" s="110"/>
    </row>
    <row r="81" spans="1:12" s="26" customFormat="1" ht="15" customHeight="1" x14ac:dyDescent="0.2">
      <c r="A81" s="732"/>
      <c r="B81" s="721"/>
      <c r="C81" s="721"/>
      <c r="D81" s="721"/>
      <c r="E81" s="722" t="s">
        <v>232</v>
      </c>
      <c r="F81" s="292"/>
      <c r="G81" s="292">
        <f>G82+G83</f>
        <v>0</v>
      </c>
      <c r="H81" s="292">
        <f t="shared" si="9"/>
        <v>0</v>
      </c>
      <c r="I81" s="110"/>
      <c r="J81" s="110"/>
      <c r="K81" s="110"/>
      <c r="L81" s="110"/>
    </row>
    <row r="82" spans="1:12" s="26" customFormat="1" ht="15" customHeight="1" x14ac:dyDescent="0.2">
      <c r="A82" s="732"/>
      <c r="B82" s="721"/>
      <c r="C82" s="721"/>
      <c r="D82" s="721"/>
      <c r="E82" s="297" t="s">
        <v>83</v>
      </c>
      <c r="F82" s="292"/>
      <c r="G82" s="292"/>
      <c r="H82" s="292">
        <f t="shared" si="9"/>
        <v>0</v>
      </c>
      <c r="I82" s="110"/>
      <c r="J82" s="110"/>
      <c r="K82" s="110"/>
      <c r="L82" s="110"/>
    </row>
    <row r="83" spans="1:12" s="26" customFormat="1" ht="15" customHeight="1" x14ac:dyDescent="0.2">
      <c r="A83" s="732"/>
      <c r="B83" s="721"/>
      <c r="C83" s="721"/>
      <c r="D83" s="721"/>
      <c r="E83" s="299" t="s">
        <v>84</v>
      </c>
      <c r="F83" s="292"/>
      <c r="G83" s="292"/>
      <c r="H83" s="292">
        <f t="shared" si="9"/>
        <v>0</v>
      </c>
      <c r="I83" s="110"/>
      <c r="J83" s="110"/>
      <c r="K83" s="110"/>
      <c r="L83" s="110"/>
    </row>
    <row r="84" spans="1:12" s="26" customFormat="1" ht="15" customHeight="1" x14ac:dyDescent="0.2">
      <c r="A84" s="682"/>
      <c r="B84" s="694">
        <v>6</v>
      </c>
      <c r="C84" s="694" t="s">
        <v>199</v>
      </c>
      <c r="D84" s="694"/>
      <c r="E84" s="698" t="s">
        <v>201</v>
      </c>
      <c r="F84" s="685">
        <f>F85+F86</f>
        <v>2633308</v>
      </c>
      <c r="G84" s="685">
        <f>G85+G86</f>
        <v>0</v>
      </c>
      <c r="H84" s="685">
        <f t="shared" si="9"/>
        <v>2633308</v>
      </c>
      <c r="I84" s="110"/>
      <c r="J84" s="110"/>
      <c r="K84" s="110"/>
      <c r="L84" s="110"/>
    </row>
    <row r="85" spans="1:12" s="26" customFormat="1" ht="15" customHeight="1" x14ac:dyDescent="0.2">
      <c r="A85" s="682"/>
      <c r="B85" s="694"/>
      <c r="C85" s="694"/>
      <c r="D85" s="694"/>
      <c r="E85" s="686" t="s">
        <v>83</v>
      </c>
      <c r="F85" s="685">
        <f>F88+F91+F94</f>
        <v>2203308</v>
      </c>
      <c r="G85" s="685"/>
      <c r="H85" s="685">
        <f t="shared" si="9"/>
        <v>2203308</v>
      </c>
      <c r="I85" s="110"/>
      <c r="J85" s="110"/>
      <c r="K85" s="110"/>
      <c r="L85" s="110"/>
    </row>
    <row r="86" spans="1:12" s="26" customFormat="1" ht="15" customHeight="1" x14ac:dyDescent="0.2">
      <c r="A86" s="682"/>
      <c r="B86" s="694"/>
      <c r="C86" s="694"/>
      <c r="D86" s="694"/>
      <c r="E86" s="687" t="s">
        <v>84</v>
      </c>
      <c r="F86" s="685">
        <f>F89+F92+F95</f>
        <v>430000</v>
      </c>
      <c r="G86" s="685"/>
      <c r="H86" s="685">
        <f t="shared" si="9"/>
        <v>430000</v>
      </c>
      <c r="I86" s="110"/>
      <c r="J86" s="110"/>
      <c r="K86" s="110"/>
      <c r="L86" s="110"/>
    </row>
    <row r="87" spans="1:12" s="26" customFormat="1" ht="15" customHeight="1" x14ac:dyDescent="0.2">
      <c r="A87" s="732"/>
      <c r="B87" s="721"/>
      <c r="C87" s="721"/>
      <c r="D87" s="721"/>
      <c r="E87" s="722" t="s">
        <v>257</v>
      </c>
      <c r="F87" s="292"/>
      <c r="G87" s="292">
        <f>G88+G89</f>
        <v>0</v>
      </c>
      <c r="H87" s="292">
        <f t="shared" si="9"/>
        <v>0</v>
      </c>
      <c r="I87" s="110"/>
      <c r="J87" s="110"/>
      <c r="K87" s="110"/>
      <c r="L87" s="110"/>
    </row>
    <row r="88" spans="1:12" s="26" customFormat="1" ht="15" customHeight="1" x14ac:dyDescent="0.2">
      <c r="A88" s="732"/>
      <c r="B88" s="721"/>
      <c r="C88" s="721"/>
      <c r="D88" s="721"/>
      <c r="E88" s="297" t="s">
        <v>83</v>
      </c>
      <c r="F88" s="292">
        <f>80000+123308</f>
        <v>203308</v>
      </c>
      <c r="G88" s="292"/>
      <c r="H88" s="292">
        <f t="shared" si="9"/>
        <v>203308</v>
      </c>
      <c r="I88" s="110"/>
      <c r="J88" s="110"/>
      <c r="K88" s="110"/>
      <c r="L88" s="110"/>
    </row>
    <row r="89" spans="1:12" s="26" customFormat="1" ht="15" customHeight="1" x14ac:dyDescent="0.2">
      <c r="A89" s="732"/>
      <c r="B89" s="721"/>
      <c r="C89" s="721"/>
      <c r="D89" s="721"/>
      <c r="E89" s="299" t="s">
        <v>84</v>
      </c>
      <c r="F89" s="292"/>
      <c r="G89" s="292"/>
      <c r="H89" s="292">
        <f t="shared" si="9"/>
        <v>0</v>
      </c>
      <c r="I89" s="110"/>
      <c r="J89" s="110"/>
      <c r="K89" s="110"/>
      <c r="L89" s="110"/>
    </row>
    <row r="90" spans="1:12" s="26" customFormat="1" ht="15" customHeight="1" x14ac:dyDescent="0.2">
      <c r="A90" s="732"/>
      <c r="B90" s="721"/>
      <c r="C90" s="721"/>
      <c r="D90" s="721"/>
      <c r="E90" s="722" t="s">
        <v>231</v>
      </c>
      <c r="F90" s="292">
        <f>F91+F92</f>
        <v>2430000</v>
      </c>
      <c r="G90" s="292"/>
      <c r="H90" s="292">
        <f t="shared" si="9"/>
        <v>2430000</v>
      </c>
      <c r="I90" s="110"/>
      <c r="J90" s="110"/>
      <c r="K90" s="110"/>
      <c r="L90" s="110"/>
    </row>
    <row r="91" spans="1:12" s="26" customFormat="1" ht="15" customHeight="1" x14ac:dyDescent="0.2">
      <c r="A91" s="732"/>
      <c r="B91" s="721"/>
      <c r="C91" s="721"/>
      <c r="D91" s="721"/>
      <c r="E91" s="297" t="s">
        <v>83</v>
      </c>
      <c r="F91" s="292">
        <v>2000000</v>
      </c>
      <c r="G91" s="292"/>
      <c r="H91" s="292">
        <f t="shared" si="9"/>
        <v>2000000</v>
      </c>
      <c r="I91" s="110"/>
      <c r="J91" s="110"/>
      <c r="K91" s="110"/>
      <c r="L91" s="110"/>
    </row>
    <row r="92" spans="1:12" s="26" customFormat="1" ht="15" customHeight="1" x14ac:dyDescent="0.2">
      <c r="A92" s="732"/>
      <c r="B92" s="721"/>
      <c r="C92" s="721"/>
      <c r="D92" s="721"/>
      <c r="E92" s="299" t="s">
        <v>84</v>
      </c>
      <c r="F92" s="292">
        <v>430000</v>
      </c>
      <c r="G92" s="292"/>
      <c r="H92" s="292">
        <f t="shared" si="9"/>
        <v>430000</v>
      </c>
      <c r="I92" s="110"/>
      <c r="J92" s="110"/>
      <c r="K92" s="110"/>
      <c r="L92" s="110"/>
    </row>
    <row r="93" spans="1:12" s="26" customFormat="1" ht="15" customHeight="1" x14ac:dyDescent="0.2">
      <c r="A93" s="732"/>
      <c r="B93" s="721"/>
      <c r="C93" s="721"/>
      <c r="D93" s="721"/>
      <c r="E93" s="722" t="s">
        <v>232</v>
      </c>
      <c r="F93" s="292"/>
      <c r="G93" s="292"/>
      <c r="H93" s="292">
        <f t="shared" si="9"/>
        <v>0</v>
      </c>
      <c r="I93" s="110"/>
      <c r="J93" s="110"/>
      <c r="K93" s="110"/>
      <c r="L93" s="110"/>
    </row>
    <row r="94" spans="1:12" s="26" customFormat="1" ht="15" customHeight="1" x14ac:dyDescent="0.2">
      <c r="A94" s="732"/>
      <c r="B94" s="721"/>
      <c r="C94" s="721"/>
      <c r="D94" s="721"/>
      <c r="E94" s="297" t="s">
        <v>83</v>
      </c>
      <c r="F94" s="292"/>
      <c r="G94" s="292"/>
      <c r="H94" s="292">
        <f t="shared" si="9"/>
        <v>0</v>
      </c>
      <c r="I94" s="110"/>
      <c r="J94" s="110"/>
      <c r="K94" s="110"/>
      <c r="L94" s="110"/>
    </row>
    <row r="95" spans="1:12" s="26" customFormat="1" ht="15" customHeight="1" x14ac:dyDescent="0.2">
      <c r="A95" s="732"/>
      <c r="B95" s="721"/>
      <c r="C95" s="721"/>
      <c r="D95" s="721"/>
      <c r="E95" s="299" t="s">
        <v>84</v>
      </c>
      <c r="F95" s="292"/>
      <c r="G95" s="292"/>
      <c r="H95" s="292">
        <f t="shared" si="9"/>
        <v>0</v>
      </c>
      <c r="I95" s="110"/>
      <c r="J95" s="110"/>
      <c r="K95" s="110"/>
      <c r="L95" s="110"/>
    </row>
    <row r="96" spans="1:12" s="26" customFormat="1" ht="15" customHeight="1" x14ac:dyDescent="0.2">
      <c r="A96" s="682"/>
      <c r="B96" s="694">
        <v>8</v>
      </c>
      <c r="C96" s="694" t="s">
        <v>130</v>
      </c>
      <c r="D96" s="694"/>
      <c r="E96" s="698" t="s">
        <v>183</v>
      </c>
      <c r="F96" s="685">
        <f>F97+F98</f>
        <v>4081</v>
      </c>
      <c r="G96" s="685">
        <f>G97+G98</f>
        <v>0</v>
      </c>
      <c r="H96" s="685">
        <f t="shared" si="9"/>
        <v>4081</v>
      </c>
      <c r="I96" s="110"/>
      <c r="J96" s="110"/>
      <c r="K96" s="110"/>
      <c r="L96" s="110"/>
    </row>
    <row r="97" spans="1:12" s="26" customFormat="1" ht="15" customHeight="1" x14ac:dyDescent="0.2">
      <c r="A97" s="682"/>
      <c r="B97" s="694"/>
      <c r="C97" s="694"/>
      <c r="D97" s="694"/>
      <c r="E97" s="686" t="s">
        <v>83</v>
      </c>
      <c r="F97" s="685">
        <f>F100+F103+F106</f>
        <v>3254</v>
      </c>
      <c r="G97" s="685"/>
      <c r="H97" s="685">
        <f t="shared" si="9"/>
        <v>3254</v>
      </c>
      <c r="I97" s="110"/>
      <c r="J97" s="110"/>
      <c r="K97" s="110"/>
      <c r="L97" s="110"/>
    </row>
    <row r="98" spans="1:12" s="26" customFormat="1" ht="15" customHeight="1" x14ac:dyDescent="0.2">
      <c r="A98" s="682"/>
      <c r="B98" s="694"/>
      <c r="C98" s="694"/>
      <c r="D98" s="694"/>
      <c r="E98" s="687" t="s">
        <v>84</v>
      </c>
      <c r="F98" s="685">
        <f>F101+F104+F107</f>
        <v>827</v>
      </c>
      <c r="G98" s="685">
        <f>G101+G104+G107</f>
        <v>0</v>
      </c>
      <c r="H98" s="685">
        <f t="shared" si="9"/>
        <v>827</v>
      </c>
      <c r="I98" s="110"/>
      <c r="J98" s="110"/>
      <c r="K98" s="110"/>
      <c r="L98" s="110"/>
    </row>
    <row r="99" spans="1:12" s="26" customFormat="1" ht="15" customHeight="1" x14ac:dyDescent="0.2">
      <c r="A99" s="732"/>
      <c r="B99" s="721"/>
      <c r="C99" s="721"/>
      <c r="D99" s="721"/>
      <c r="E99" s="722" t="s">
        <v>257</v>
      </c>
      <c r="F99" s="292">
        <f>F100+F101</f>
        <v>1254</v>
      </c>
      <c r="G99" s="292"/>
      <c r="H99" s="292">
        <f t="shared" si="9"/>
        <v>1254</v>
      </c>
      <c r="I99" s="110"/>
      <c r="J99" s="110"/>
      <c r="K99" s="110"/>
      <c r="L99" s="110"/>
    </row>
    <row r="100" spans="1:12" s="26" customFormat="1" ht="15" customHeight="1" x14ac:dyDescent="0.2">
      <c r="A100" s="732"/>
      <c r="B100" s="721"/>
      <c r="C100" s="721"/>
      <c r="D100" s="721"/>
      <c r="E100" s="297" t="s">
        <v>83</v>
      </c>
      <c r="F100" s="292">
        <v>1254</v>
      </c>
      <c r="G100" s="292"/>
      <c r="H100" s="292">
        <f t="shared" si="9"/>
        <v>1254</v>
      </c>
      <c r="I100" s="110"/>
      <c r="J100" s="110"/>
      <c r="K100" s="110"/>
      <c r="L100" s="110"/>
    </row>
    <row r="101" spans="1:12" s="26" customFormat="1" ht="15" customHeight="1" x14ac:dyDescent="0.2">
      <c r="A101" s="732"/>
      <c r="B101" s="721"/>
      <c r="C101" s="721"/>
      <c r="D101" s="721"/>
      <c r="E101" s="299" t="s">
        <v>84</v>
      </c>
      <c r="F101" s="292"/>
      <c r="G101" s="292"/>
      <c r="H101" s="292">
        <f t="shared" si="9"/>
        <v>0</v>
      </c>
      <c r="I101" s="110"/>
      <c r="J101" s="110"/>
      <c r="K101" s="110"/>
      <c r="L101" s="110"/>
    </row>
    <row r="102" spans="1:12" s="26" customFormat="1" ht="15" customHeight="1" x14ac:dyDescent="0.2">
      <c r="A102" s="732"/>
      <c r="B102" s="721"/>
      <c r="C102" s="721"/>
      <c r="D102" s="721"/>
      <c r="E102" s="722" t="s">
        <v>231</v>
      </c>
      <c r="F102" s="292">
        <f>F103+F104</f>
        <v>1827</v>
      </c>
      <c r="G102" s="292"/>
      <c r="H102" s="292">
        <f t="shared" si="9"/>
        <v>1827</v>
      </c>
      <c r="I102" s="110"/>
      <c r="J102" s="110"/>
      <c r="K102" s="110"/>
      <c r="L102" s="110"/>
    </row>
    <row r="103" spans="1:12" s="26" customFormat="1" ht="15" customHeight="1" x14ac:dyDescent="0.2">
      <c r="A103" s="732"/>
      <c r="B103" s="721"/>
      <c r="C103" s="721"/>
      <c r="D103" s="721"/>
      <c r="E103" s="297" t="s">
        <v>83</v>
      </c>
      <c r="F103" s="292">
        <v>1000</v>
      </c>
      <c r="G103" s="292"/>
      <c r="H103" s="292">
        <f t="shared" si="9"/>
        <v>1000</v>
      </c>
      <c r="I103" s="110"/>
      <c r="J103" s="110"/>
      <c r="K103" s="110"/>
      <c r="L103" s="110"/>
    </row>
    <row r="104" spans="1:12" s="26" customFormat="1" ht="15" customHeight="1" x14ac:dyDescent="0.2">
      <c r="A104" s="732"/>
      <c r="B104" s="721"/>
      <c r="C104" s="721"/>
      <c r="D104" s="721"/>
      <c r="E104" s="299" t="s">
        <v>84</v>
      </c>
      <c r="F104" s="292">
        <v>827</v>
      </c>
      <c r="G104" s="292"/>
      <c r="H104" s="292">
        <f t="shared" si="9"/>
        <v>827</v>
      </c>
      <c r="I104" s="110"/>
      <c r="J104" s="110"/>
      <c r="K104" s="110"/>
      <c r="L104" s="110"/>
    </row>
    <row r="105" spans="1:12" s="26" customFormat="1" ht="15" customHeight="1" x14ac:dyDescent="0.2">
      <c r="A105" s="732"/>
      <c r="B105" s="721"/>
      <c r="C105" s="721"/>
      <c r="D105" s="721"/>
      <c r="E105" s="722" t="s">
        <v>232</v>
      </c>
      <c r="F105" s="292">
        <f>F106+F107</f>
        <v>1000</v>
      </c>
      <c r="G105" s="292"/>
      <c r="H105" s="292">
        <f t="shared" si="9"/>
        <v>1000</v>
      </c>
      <c r="I105" s="110"/>
      <c r="J105" s="110"/>
      <c r="K105" s="110"/>
      <c r="L105" s="110"/>
    </row>
    <row r="106" spans="1:12" s="26" customFormat="1" ht="15" customHeight="1" x14ac:dyDescent="0.2">
      <c r="A106" s="732"/>
      <c r="B106" s="721"/>
      <c r="C106" s="721"/>
      <c r="D106" s="721"/>
      <c r="E106" s="297" t="s">
        <v>83</v>
      </c>
      <c r="F106" s="292">
        <v>1000</v>
      </c>
      <c r="G106" s="292"/>
      <c r="H106" s="292">
        <f t="shared" si="9"/>
        <v>1000</v>
      </c>
      <c r="I106" s="110"/>
      <c r="J106" s="110"/>
      <c r="K106" s="110"/>
      <c r="L106" s="110"/>
    </row>
    <row r="107" spans="1:12" s="26" customFormat="1" ht="15" customHeight="1" x14ac:dyDescent="0.2">
      <c r="A107" s="732"/>
      <c r="B107" s="721"/>
      <c r="C107" s="721"/>
      <c r="D107" s="721"/>
      <c r="E107" s="299" t="s">
        <v>84</v>
      </c>
      <c r="F107" s="292"/>
      <c r="G107" s="292"/>
      <c r="H107" s="292">
        <f t="shared" si="9"/>
        <v>0</v>
      </c>
      <c r="I107" s="110"/>
      <c r="J107" s="110"/>
      <c r="K107" s="110"/>
      <c r="L107" s="110"/>
    </row>
    <row r="108" spans="1:12" s="26" customFormat="1" ht="15" customHeight="1" x14ac:dyDescent="0.2">
      <c r="A108" s="682"/>
      <c r="B108" s="694">
        <v>10</v>
      </c>
      <c r="C108" s="694" t="s">
        <v>300</v>
      </c>
      <c r="D108" s="694"/>
      <c r="E108" s="698" t="s">
        <v>171</v>
      </c>
      <c r="F108" s="685">
        <f>F109+F110</f>
        <v>173364</v>
      </c>
      <c r="G108" s="685">
        <f>G109+G110</f>
        <v>0</v>
      </c>
      <c r="H108" s="685">
        <f t="shared" ref="H108:H149" si="10">F108</f>
        <v>173364</v>
      </c>
      <c r="I108" s="110"/>
      <c r="J108" s="110"/>
      <c r="K108" s="110"/>
      <c r="L108" s="110"/>
    </row>
    <row r="109" spans="1:12" s="26" customFormat="1" ht="15" customHeight="1" x14ac:dyDescent="0.2">
      <c r="A109" s="682"/>
      <c r="B109" s="694"/>
      <c r="C109" s="694"/>
      <c r="D109" s="694"/>
      <c r="E109" s="686" t="s">
        <v>83</v>
      </c>
      <c r="F109" s="685">
        <f>F112+F115+F118</f>
        <v>123844</v>
      </c>
      <c r="G109" s="685">
        <f>G112+G115+G118</f>
        <v>0</v>
      </c>
      <c r="H109" s="685">
        <f t="shared" si="10"/>
        <v>123844</v>
      </c>
      <c r="I109" s="110"/>
      <c r="J109" s="110"/>
      <c r="K109" s="110"/>
      <c r="L109" s="110"/>
    </row>
    <row r="110" spans="1:12" s="26" customFormat="1" ht="15" customHeight="1" x14ac:dyDescent="0.2">
      <c r="A110" s="682"/>
      <c r="B110" s="694"/>
      <c r="C110" s="694"/>
      <c r="D110" s="694"/>
      <c r="E110" s="687" t="s">
        <v>84</v>
      </c>
      <c r="F110" s="685">
        <f>F113+F116+F119</f>
        <v>49520</v>
      </c>
      <c r="G110" s="685">
        <f>G113+G116+G119</f>
        <v>0</v>
      </c>
      <c r="H110" s="685">
        <f t="shared" si="10"/>
        <v>49520</v>
      </c>
      <c r="I110" s="110"/>
      <c r="J110" s="110"/>
      <c r="K110" s="110"/>
      <c r="L110" s="110"/>
    </row>
    <row r="111" spans="1:12" s="26" customFormat="1" ht="15" customHeight="1" x14ac:dyDescent="0.2">
      <c r="A111" s="732"/>
      <c r="B111" s="721"/>
      <c r="C111" s="721"/>
      <c r="D111" s="721"/>
      <c r="E111" s="722" t="s">
        <v>257</v>
      </c>
      <c r="F111" s="292"/>
      <c r="G111" s="292"/>
      <c r="H111" s="292">
        <f t="shared" si="10"/>
        <v>0</v>
      </c>
      <c r="I111" s="110"/>
      <c r="J111" s="110"/>
      <c r="K111" s="110"/>
      <c r="L111" s="110"/>
    </row>
    <row r="112" spans="1:12" s="26" customFormat="1" ht="15" customHeight="1" x14ac:dyDescent="0.2">
      <c r="A112" s="732"/>
      <c r="B112" s="721"/>
      <c r="C112" s="721"/>
      <c r="D112" s="721"/>
      <c r="E112" s="297" t="s">
        <v>83</v>
      </c>
      <c r="F112" s="292">
        <v>116931</v>
      </c>
      <c r="G112" s="292"/>
      <c r="H112" s="292">
        <f t="shared" si="10"/>
        <v>116931</v>
      </c>
      <c r="I112" s="110"/>
      <c r="J112" s="110"/>
      <c r="K112" s="110"/>
      <c r="L112" s="110"/>
    </row>
    <row r="113" spans="1:12" s="26" customFormat="1" ht="15" customHeight="1" x14ac:dyDescent="0.2">
      <c r="A113" s="732"/>
      <c r="B113" s="721"/>
      <c r="C113" s="721"/>
      <c r="D113" s="721"/>
      <c r="E113" s="299" t="s">
        <v>84</v>
      </c>
      <c r="F113" s="292"/>
      <c r="G113" s="292"/>
      <c r="H113" s="292">
        <f t="shared" si="10"/>
        <v>0</v>
      </c>
      <c r="I113" s="110"/>
      <c r="J113" s="110"/>
      <c r="K113" s="110"/>
      <c r="L113" s="110"/>
    </row>
    <row r="114" spans="1:12" s="26" customFormat="1" ht="15" customHeight="1" x14ac:dyDescent="0.2">
      <c r="A114" s="732"/>
      <c r="B114" s="721"/>
      <c r="C114" s="721"/>
      <c r="D114" s="721"/>
      <c r="E114" s="722" t="s">
        <v>231</v>
      </c>
      <c r="F114" s="292">
        <f>F115+F116</f>
        <v>52155</v>
      </c>
      <c r="G114" s="292"/>
      <c r="H114" s="292">
        <f t="shared" si="10"/>
        <v>52155</v>
      </c>
      <c r="I114" s="110"/>
      <c r="J114" s="110"/>
      <c r="K114" s="110"/>
      <c r="L114" s="110"/>
    </row>
    <row r="115" spans="1:12" s="26" customFormat="1" ht="15" customHeight="1" x14ac:dyDescent="0.2">
      <c r="A115" s="732"/>
      <c r="B115" s="721"/>
      <c r="C115" s="721"/>
      <c r="D115" s="721"/>
      <c r="E115" s="297" t="s">
        <v>83</v>
      </c>
      <c r="F115" s="292">
        <f>2223+412</f>
        <v>2635</v>
      </c>
      <c r="G115" s="292"/>
      <c r="H115" s="292">
        <f t="shared" si="10"/>
        <v>2635</v>
      </c>
      <c r="I115" s="110"/>
      <c r="J115" s="110"/>
      <c r="K115" s="110"/>
      <c r="L115" s="110"/>
    </row>
    <row r="116" spans="1:12" s="26" customFormat="1" ht="16.5" customHeight="1" x14ac:dyDescent="0.2">
      <c r="A116" s="732"/>
      <c r="B116" s="721"/>
      <c r="C116" s="721"/>
      <c r="D116" s="721"/>
      <c r="E116" s="299" t="s">
        <v>84</v>
      </c>
      <c r="F116" s="292">
        <f>932+48588</f>
        <v>49520</v>
      </c>
      <c r="G116" s="292"/>
      <c r="H116" s="292">
        <f t="shared" si="10"/>
        <v>49520</v>
      </c>
      <c r="I116" s="110"/>
      <c r="J116" s="110"/>
      <c r="K116" s="110"/>
      <c r="L116" s="110"/>
    </row>
    <row r="117" spans="1:12" s="26" customFormat="1" ht="15" customHeight="1" x14ac:dyDescent="0.2">
      <c r="A117" s="732"/>
      <c r="B117" s="721"/>
      <c r="C117" s="721"/>
      <c r="D117" s="721"/>
      <c r="E117" s="722" t="s">
        <v>232</v>
      </c>
      <c r="F117" s="292">
        <f>F118+F119</f>
        <v>4278</v>
      </c>
      <c r="G117" s="292"/>
      <c r="H117" s="292">
        <f t="shared" si="10"/>
        <v>4278</v>
      </c>
      <c r="I117" s="110"/>
      <c r="J117" s="110"/>
      <c r="K117" s="110"/>
      <c r="L117" s="110"/>
    </row>
    <row r="118" spans="1:12" s="26" customFormat="1" ht="15" customHeight="1" x14ac:dyDescent="0.2">
      <c r="A118" s="732"/>
      <c r="B118" s="721"/>
      <c r="C118" s="721"/>
      <c r="D118" s="721"/>
      <c r="E118" s="297" t="s">
        <v>83</v>
      </c>
      <c r="F118" s="292">
        <v>4278</v>
      </c>
      <c r="G118" s="292"/>
      <c r="H118" s="292">
        <f t="shared" si="10"/>
        <v>4278</v>
      </c>
      <c r="I118" s="110"/>
      <c r="J118" s="110"/>
      <c r="K118" s="110"/>
      <c r="L118" s="110"/>
    </row>
    <row r="119" spans="1:12" s="26" customFormat="1" ht="15" customHeight="1" x14ac:dyDescent="0.2">
      <c r="A119" s="732"/>
      <c r="B119" s="721"/>
      <c r="C119" s="721"/>
      <c r="D119" s="721"/>
      <c r="E119" s="299" t="s">
        <v>84</v>
      </c>
      <c r="F119" s="292"/>
      <c r="G119" s="292"/>
      <c r="H119" s="292">
        <f t="shared" si="10"/>
        <v>0</v>
      </c>
      <c r="I119" s="110"/>
      <c r="J119" s="110"/>
      <c r="K119" s="110"/>
      <c r="L119" s="110"/>
    </row>
    <row r="120" spans="1:12" ht="14.25" customHeight="1" x14ac:dyDescent="0.2">
      <c r="A120" s="862" t="s">
        <v>132</v>
      </c>
      <c r="B120" s="862"/>
      <c r="C120" s="862"/>
      <c r="D120" s="862"/>
      <c r="E120" s="862"/>
      <c r="F120" s="678">
        <f>F123</f>
        <v>0</v>
      </c>
      <c r="G120" s="678">
        <f>G123</f>
        <v>0</v>
      </c>
      <c r="H120" s="679">
        <f t="shared" si="10"/>
        <v>0</v>
      </c>
      <c r="I120" s="114"/>
      <c r="J120" s="108"/>
      <c r="K120" s="108"/>
      <c r="L120" s="108"/>
    </row>
    <row r="121" spans="1:12" ht="14.25" customHeight="1" x14ac:dyDescent="0.2">
      <c r="A121" s="723"/>
      <c r="B121" s="723"/>
      <c r="C121" s="723"/>
      <c r="D121" s="723"/>
      <c r="E121" s="680" t="s">
        <v>83</v>
      </c>
      <c r="F121" s="678">
        <f t="shared" ref="F121:G122" si="11">F124</f>
        <v>0</v>
      </c>
      <c r="G121" s="678">
        <f t="shared" si="11"/>
        <v>0</v>
      </c>
      <c r="H121" s="679"/>
      <c r="I121" s="114"/>
      <c r="J121" s="108"/>
      <c r="K121" s="108"/>
      <c r="L121" s="108"/>
    </row>
    <row r="122" spans="1:12" ht="14.25" customHeight="1" x14ac:dyDescent="0.2">
      <c r="A122" s="723"/>
      <c r="B122" s="723"/>
      <c r="C122" s="723"/>
      <c r="D122" s="723"/>
      <c r="E122" s="681" t="s">
        <v>84</v>
      </c>
      <c r="F122" s="678">
        <f t="shared" si="11"/>
        <v>0</v>
      </c>
      <c r="G122" s="678">
        <f t="shared" si="11"/>
        <v>0</v>
      </c>
      <c r="H122" s="679"/>
      <c r="I122" s="114"/>
      <c r="J122" s="108"/>
      <c r="K122" s="108"/>
      <c r="L122" s="108"/>
    </row>
    <row r="123" spans="1:12" ht="14.25" customHeight="1" x14ac:dyDescent="0.2">
      <c r="A123" s="682"/>
      <c r="B123" s="683">
        <v>1</v>
      </c>
      <c r="C123" s="683" t="s">
        <v>189</v>
      </c>
      <c r="D123" s="683" t="s">
        <v>72</v>
      </c>
      <c r="E123" s="699" t="s">
        <v>211</v>
      </c>
      <c r="F123" s="700">
        <f>F124+F125</f>
        <v>0</v>
      </c>
      <c r="G123" s="700">
        <f>G124+G125</f>
        <v>0</v>
      </c>
      <c r="H123" s="685">
        <f>F123+G123</f>
        <v>0</v>
      </c>
      <c r="I123" s="108"/>
      <c r="J123" s="108"/>
      <c r="K123" s="108"/>
      <c r="L123" s="108"/>
    </row>
    <row r="124" spans="1:12" ht="14.25" customHeight="1" x14ac:dyDescent="0.2">
      <c r="A124" s="682"/>
      <c r="B124" s="683"/>
      <c r="C124" s="683"/>
      <c r="D124" s="683"/>
      <c r="E124" s="686" t="s">
        <v>83</v>
      </c>
      <c r="F124" s="700">
        <f>F127+F130+F133</f>
        <v>0</v>
      </c>
      <c r="G124" s="700">
        <f>G127+G130+G133</f>
        <v>0</v>
      </c>
      <c r="H124" s="685">
        <f t="shared" ref="H124:H125" si="12">F124+G124</f>
        <v>0</v>
      </c>
      <c r="I124" s="108"/>
      <c r="J124" s="108"/>
      <c r="K124" s="108"/>
      <c r="L124" s="108"/>
    </row>
    <row r="125" spans="1:12" ht="14.25" customHeight="1" x14ac:dyDescent="0.2">
      <c r="A125" s="682"/>
      <c r="B125" s="683"/>
      <c r="C125" s="683"/>
      <c r="D125" s="683"/>
      <c r="E125" s="687" t="s">
        <v>84</v>
      </c>
      <c r="F125" s="700">
        <f>F128+F131+F134</f>
        <v>0</v>
      </c>
      <c r="G125" s="700">
        <f>G128+G131+G134</f>
        <v>0</v>
      </c>
      <c r="H125" s="685">
        <f t="shared" si="12"/>
        <v>0</v>
      </c>
      <c r="I125" s="108"/>
      <c r="J125" s="108"/>
      <c r="K125" s="108"/>
      <c r="L125" s="108"/>
    </row>
    <row r="126" spans="1:12" ht="14.25" customHeight="1" x14ac:dyDescent="0.2">
      <c r="A126" s="732"/>
      <c r="B126" s="332"/>
      <c r="C126" s="332"/>
      <c r="D126" s="332"/>
      <c r="E126" s="722" t="s">
        <v>257</v>
      </c>
      <c r="F126" s="333">
        <f>F127+F128</f>
        <v>0</v>
      </c>
      <c r="G126" s="333">
        <f>G127+G128</f>
        <v>0</v>
      </c>
      <c r="H126" s="292">
        <f>F126+G126</f>
        <v>0</v>
      </c>
      <c r="I126" s="108"/>
      <c r="J126" s="108"/>
      <c r="K126" s="108"/>
      <c r="L126" s="108"/>
    </row>
    <row r="127" spans="1:12" ht="14.25" customHeight="1" x14ac:dyDescent="0.2">
      <c r="A127" s="732"/>
      <c r="B127" s="332"/>
      <c r="C127" s="332"/>
      <c r="D127" s="332"/>
      <c r="E127" s="297" t="s">
        <v>83</v>
      </c>
      <c r="F127" s="333"/>
      <c r="G127" s="292"/>
      <c r="H127" s="292">
        <f t="shared" ref="H127:H134" si="13">F127+G127</f>
        <v>0</v>
      </c>
      <c r="I127" s="108"/>
      <c r="J127" s="108"/>
      <c r="K127" s="108"/>
      <c r="L127" s="108"/>
    </row>
    <row r="128" spans="1:12" ht="14.25" customHeight="1" x14ac:dyDescent="0.2">
      <c r="A128" s="732"/>
      <c r="B128" s="332"/>
      <c r="C128" s="332"/>
      <c r="D128" s="332"/>
      <c r="E128" s="299" t="s">
        <v>84</v>
      </c>
      <c r="F128" s="333"/>
      <c r="G128" s="292"/>
      <c r="H128" s="292">
        <f t="shared" si="13"/>
        <v>0</v>
      </c>
      <c r="I128" s="108"/>
      <c r="J128" s="108"/>
      <c r="K128" s="108"/>
      <c r="L128" s="108"/>
    </row>
    <row r="129" spans="1:12" ht="14.25" customHeight="1" x14ac:dyDescent="0.2">
      <c r="A129" s="732"/>
      <c r="B129" s="332"/>
      <c r="C129" s="332"/>
      <c r="D129" s="332"/>
      <c r="E129" s="722" t="s">
        <v>231</v>
      </c>
      <c r="F129" s="333"/>
      <c r="G129" s="292"/>
      <c r="H129" s="292">
        <f t="shared" si="13"/>
        <v>0</v>
      </c>
      <c r="I129" s="108"/>
      <c r="J129" s="108"/>
      <c r="K129" s="108"/>
      <c r="L129" s="108"/>
    </row>
    <row r="130" spans="1:12" ht="14.25" customHeight="1" x14ac:dyDescent="0.2">
      <c r="A130" s="732"/>
      <c r="B130" s="332"/>
      <c r="C130" s="332"/>
      <c r="D130" s="332"/>
      <c r="E130" s="297" t="s">
        <v>83</v>
      </c>
      <c r="F130" s="333"/>
      <c r="G130" s="292"/>
      <c r="H130" s="292">
        <f t="shared" si="13"/>
        <v>0</v>
      </c>
      <c r="I130" s="108"/>
      <c r="J130" s="108"/>
      <c r="K130" s="108"/>
      <c r="L130" s="108"/>
    </row>
    <row r="131" spans="1:12" ht="14.25" customHeight="1" x14ac:dyDescent="0.2">
      <c r="A131" s="732"/>
      <c r="B131" s="332"/>
      <c r="C131" s="332"/>
      <c r="D131" s="332"/>
      <c r="E131" s="299" t="s">
        <v>84</v>
      </c>
      <c r="F131" s="333"/>
      <c r="G131" s="292"/>
      <c r="H131" s="292">
        <f t="shared" si="13"/>
        <v>0</v>
      </c>
      <c r="I131" s="108"/>
      <c r="J131" s="108"/>
      <c r="K131" s="108"/>
      <c r="L131" s="108"/>
    </row>
    <row r="132" spans="1:12" ht="14.25" customHeight="1" x14ac:dyDescent="0.2">
      <c r="A132" s="732"/>
      <c r="B132" s="332"/>
      <c r="C132" s="332"/>
      <c r="D132" s="332"/>
      <c r="E132" s="722" t="s">
        <v>232</v>
      </c>
      <c r="F132" s="333"/>
      <c r="G132" s="292"/>
      <c r="H132" s="292">
        <f t="shared" si="13"/>
        <v>0</v>
      </c>
      <c r="I132" s="108"/>
      <c r="J132" s="108"/>
      <c r="K132" s="108"/>
      <c r="L132" s="108"/>
    </row>
    <row r="133" spans="1:12" ht="14.25" customHeight="1" x14ac:dyDescent="0.2">
      <c r="A133" s="732"/>
      <c r="B133" s="332"/>
      <c r="C133" s="332"/>
      <c r="D133" s="332"/>
      <c r="E133" s="297" t="s">
        <v>83</v>
      </c>
      <c r="F133" s="333"/>
      <c r="G133" s="292"/>
      <c r="H133" s="292">
        <f t="shared" si="13"/>
        <v>0</v>
      </c>
      <c r="I133" s="108"/>
      <c r="J133" s="108"/>
      <c r="K133" s="108"/>
      <c r="L133" s="108"/>
    </row>
    <row r="134" spans="1:12" ht="14.25" customHeight="1" x14ac:dyDescent="0.2">
      <c r="A134" s="732"/>
      <c r="B134" s="332"/>
      <c r="C134" s="332"/>
      <c r="D134" s="332"/>
      <c r="E134" s="299" t="s">
        <v>84</v>
      </c>
      <c r="F134" s="333"/>
      <c r="G134" s="292"/>
      <c r="H134" s="292">
        <f t="shared" si="13"/>
        <v>0</v>
      </c>
      <c r="I134" s="108"/>
      <c r="J134" s="108"/>
      <c r="K134" s="108"/>
      <c r="L134" s="108"/>
    </row>
    <row r="135" spans="1:12" s="26" customFormat="1" ht="15" customHeight="1" x14ac:dyDescent="0.2">
      <c r="A135" s="862" t="s">
        <v>135</v>
      </c>
      <c r="B135" s="862"/>
      <c r="C135" s="862"/>
      <c r="D135" s="862"/>
      <c r="E135" s="862"/>
      <c r="F135" s="678">
        <f>F136+F137</f>
        <v>202567</v>
      </c>
      <c r="G135" s="678">
        <f>G136+G137</f>
        <v>0</v>
      </c>
      <c r="H135" s="679">
        <f>F135+G135</f>
        <v>202567</v>
      </c>
      <c r="I135" s="110"/>
      <c r="J135" s="110"/>
      <c r="K135" s="110"/>
      <c r="L135" s="110"/>
    </row>
    <row r="136" spans="1:12" s="26" customFormat="1" ht="15" customHeight="1" x14ac:dyDescent="0.2">
      <c r="A136" s="723"/>
      <c r="B136" s="723"/>
      <c r="C136" s="723"/>
      <c r="D136" s="723"/>
      <c r="E136" s="680" t="s">
        <v>83</v>
      </c>
      <c r="F136" s="678">
        <f>F142+F145+F148</f>
        <v>202567</v>
      </c>
      <c r="G136" s="678">
        <f>G142+G145+G148</f>
        <v>0</v>
      </c>
      <c r="H136" s="679">
        <f t="shared" ref="H136:H137" si="14">F136+G136</f>
        <v>202567</v>
      </c>
      <c r="I136" s="110"/>
      <c r="J136" s="110"/>
      <c r="K136" s="110"/>
      <c r="L136" s="110"/>
    </row>
    <row r="137" spans="1:12" s="26" customFormat="1" ht="15" customHeight="1" x14ac:dyDescent="0.2">
      <c r="A137" s="723"/>
      <c r="B137" s="723"/>
      <c r="C137" s="723"/>
      <c r="D137" s="723"/>
      <c r="E137" s="681" t="s">
        <v>84</v>
      </c>
      <c r="F137" s="678">
        <f>F143+F146+F149</f>
        <v>0</v>
      </c>
      <c r="G137" s="678">
        <f>G143+G146+G149</f>
        <v>0</v>
      </c>
      <c r="H137" s="679">
        <f t="shared" si="14"/>
        <v>0</v>
      </c>
      <c r="I137" s="110"/>
      <c r="J137" s="110"/>
      <c r="K137" s="110"/>
      <c r="L137" s="110"/>
    </row>
    <row r="138" spans="1:12" s="26" customFormat="1" ht="15" customHeight="1" x14ac:dyDescent="0.2">
      <c r="A138" s="682"/>
      <c r="B138" s="683" t="s">
        <v>15</v>
      </c>
      <c r="C138" s="683" t="s">
        <v>164</v>
      </c>
      <c r="D138" s="683"/>
      <c r="E138" s="684" t="s">
        <v>261</v>
      </c>
      <c r="F138" s="685">
        <f>F139+F140</f>
        <v>202567</v>
      </c>
      <c r="G138" s="685">
        <f>G139+G140</f>
        <v>0</v>
      </c>
      <c r="H138" s="685">
        <f t="shared" si="10"/>
        <v>202567</v>
      </c>
      <c r="I138" s="110"/>
      <c r="J138" s="110"/>
      <c r="K138" s="110"/>
      <c r="L138" s="110"/>
    </row>
    <row r="139" spans="1:12" ht="15" customHeight="1" x14ac:dyDescent="0.2">
      <c r="A139" s="682"/>
      <c r="B139" s="683"/>
      <c r="C139" s="683"/>
      <c r="D139" s="683"/>
      <c r="E139" s="686" t="s">
        <v>83</v>
      </c>
      <c r="F139" s="685">
        <f>F142+F145+F148</f>
        <v>202567</v>
      </c>
      <c r="G139" s="685">
        <f>G142+G145+G148</f>
        <v>0</v>
      </c>
      <c r="H139" s="685">
        <f t="shared" si="10"/>
        <v>202567</v>
      </c>
      <c r="I139" s="108"/>
      <c r="J139" s="108"/>
      <c r="K139" s="108"/>
      <c r="L139" s="108"/>
    </row>
    <row r="140" spans="1:12" ht="15" customHeight="1" x14ac:dyDescent="0.2">
      <c r="A140" s="682"/>
      <c r="B140" s="683"/>
      <c r="C140" s="683"/>
      <c r="D140" s="683"/>
      <c r="E140" s="687" t="s">
        <v>84</v>
      </c>
      <c r="F140" s="685">
        <f>F143+F146+F149</f>
        <v>0</v>
      </c>
      <c r="G140" s="685">
        <f>G143+G146+G149</f>
        <v>0</v>
      </c>
      <c r="H140" s="685">
        <f t="shared" si="10"/>
        <v>0</v>
      </c>
      <c r="I140" s="108"/>
      <c r="J140" s="108"/>
      <c r="K140" s="108"/>
      <c r="L140" s="108"/>
    </row>
    <row r="141" spans="1:12" ht="15" customHeight="1" x14ac:dyDescent="0.2">
      <c r="A141" s="732"/>
      <c r="B141" s="332"/>
      <c r="C141" s="332"/>
      <c r="D141" s="332"/>
      <c r="E141" s="722" t="s">
        <v>257</v>
      </c>
      <c r="F141" s="292">
        <f>F142+F143</f>
        <v>187373</v>
      </c>
      <c r="G141" s="292">
        <f>G142+G143</f>
        <v>0</v>
      </c>
      <c r="H141" s="292">
        <f t="shared" si="10"/>
        <v>187373</v>
      </c>
      <c r="I141" s="108"/>
      <c r="J141" s="108"/>
      <c r="K141" s="108"/>
      <c r="L141" s="108"/>
    </row>
    <row r="142" spans="1:12" ht="15" customHeight="1" x14ac:dyDescent="0.2">
      <c r="A142" s="732"/>
      <c r="B142" s="332"/>
      <c r="C142" s="332"/>
      <c r="D142" s="332"/>
      <c r="E142" s="297" t="s">
        <v>83</v>
      </c>
      <c r="F142" s="292">
        <v>187373</v>
      </c>
      <c r="G142" s="292"/>
      <c r="H142" s="292">
        <f t="shared" si="10"/>
        <v>187373</v>
      </c>
      <c r="I142" s="108"/>
      <c r="J142" s="108"/>
      <c r="K142" s="108"/>
      <c r="L142" s="108"/>
    </row>
    <row r="143" spans="1:12" ht="15" customHeight="1" x14ac:dyDescent="0.2">
      <c r="A143" s="732"/>
      <c r="B143" s="332"/>
      <c r="C143" s="332"/>
      <c r="D143" s="332"/>
      <c r="E143" s="299" t="s">
        <v>84</v>
      </c>
      <c r="F143" s="292"/>
      <c r="G143" s="292"/>
      <c r="H143" s="292">
        <f t="shared" si="10"/>
        <v>0</v>
      </c>
      <c r="I143" s="108"/>
      <c r="J143" s="108"/>
      <c r="K143" s="108"/>
      <c r="L143" s="108"/>
    </row>
    <row r="144" spans="1:12" ht="15" customHeight="1" x14ac:dyDescent="0.2">
      <c r="A144" s="732"/>
      <c r="B144" s="332"/>
      <c r="C144" s="332"/>
      <c r="D144" s="332"/>
      <c r="E144" s="722" t="s">
        <v>231</v>
      </c>
      <c r="F144" s="292">
        <f>F145+F146</f>
        <v>738</v>
      </c>
      <c r="G144" s="292">
        <f>G145+G146</f>
        <v>0</v>
      </c>
      <c r="H144" s="292">
        <f t="shared" si="10"/>
        <v>738</v>
      </c>
      <c r="I144" s="108"/>
      <c r="J144" s="108"/>
      <c r="K144" s="108"/>
      <c r="L144" s="108"/>
    </row>
    <row r="145" spans="1:12" ht="15" customHeight="1" x14ac:dyDescent="0.2">
      <c r="A145" s="732"/>
      <c r="B145" s="332"/>
      <c r="C145" s="332"/>
      <c r="D145" s="332"/>
      <c r="E145" s="297" t="s">
        <v>83</v>
      </c>
      <c r="F145" s="292">
        <v>738</v>
      </c>
      <c r="G145" s="292"/>
      <c r="H145" s="292">
        <f t="shared" si="10"/>
        <v>738</v>
      </c>
      <c r="I145" s="108"/>
      <c r="J145" s="108"/>
      <c r="K145" s="108"/>
      <c r="L145" s="108"/>
    </row>
    <row r="146" spans="1:12" ht="15" customHeight="1" x14ac:dyDescent="0.2">
      <c r="A146" s="732"/>
      <c r="B146" s="332"/>
      <c r="C146" s="332"/>
      <c r="D146" s="332"/>
      <c r="E146" s="299" t="s">
        <v>84</v>
      </c>
      <c r="F146" s="292"/>
      <c r="G146" s="292"/>
      <c r="H146" s="292">
        <f t="shared" si="10"/>
        <v>0</v>
      </c>
      <c r="I146" s="108"/>
      <c r="J146" s="108"/>
      <c r="K146" s="108"/>
      <c r="L146" s="108"/>
    </row>
    <row r="147" spans="1:12" ht="15" customHeight="1" x14ac:dyDescent="0.2">
      <c r="A147" s="732"/>
      <c r="B147" s="332"/>
      <c r="C147" s="332"/>
      <c r="D147" s="332"/>
      <c r="E147" s="722" t="s">
        <v>232</v>
      </c>
      <c r="F147" s="292">
        <f>F148+F149</f>
        <v>14456</v>
      </c>
      <c r="G147" s="292">
        <f>G148+G149</f>
        <v>0</v>
      </c>
      <c r="H147" s="292">
        <f t="shared" si="10"/>
        <v>14456</v>
      </c>
      <c r="I147" s="108"/>
      <c r="J147" s="108"/>
      <c r="K147" s="108"/>
      <c r="L147" s="108"/>
    </row>
    <row r="148" spans="1:12" ht="15" customHeight="1" x14ac:dyDescent="0.2">
      <c r="A148" s="732"/>
      <c r="B148" s="332"/>
      <c r="C148" s="332"/>
      <c r="D148" s="332"/>
      <c r="E148" s="297" t="s">
        <v>83</v>
      </c>
      <c r="F148" s="292">
        <v>14456</v>
      </c>
      <c r="G148" s="292"/>
      <c r="H148" s="292">
        <f t="shared" si="10"/>
        <v>14456</v>
      </c>
      <c r="I148" s="108"/>
      <c r="J148" s="108"/>
      <c r="K148" s="108"/>
      <c r="L148" s="108"/>
    </row>
    <row r="149" spans="1:12" ht="15" customHeight="1" x14ac:dyDescent="0.2">
      <c r="A149" s="732"/>
      <c r="B149" s="332"/>
      <c r="C149" s="332"/>
      <c r="D149" s="332"/>
      <c r="E149" s="299" t="s">
        <v>84</v>
      </c>
      <c r="F149" s="292"/>
      <c r="G149" s="292"/>
      <c r="H149" s="292">
        <f t="shared" si="10"/>
        <v>0</v>
      </c>
      <c r="I149" s="108"/>
      <c r="J149" s="108"/>
      <c r="K149" s="108"/>
      <c r="L149" s="108"/>
    </row>
    <row r="150" spans="1:12" s="11" customFormat="1" ht="16.5" customHeight="1" x14ac:dyDescent="0.2">
      <c r="A150" s="701" t="s">
        <v>107</v>
      </c>
      <c r="B150" s="701"/>
      <c r="C150" s="702"/>
      <c r="D150" s="703"/>
      <c r="E150" s="704" t="s">
        <v>87</v>
      </c>
      <c r="F150" s="703">
        <f>F151+F152</f>
        <v>15131620</v>
      </c>
      <c r="G150" s="703">
        <f>G151+G152</f>
        <v>0</v>
      </c>
      <c r="H150" s="679">
        <f>F150+G150</f>
        <v>15131620</v>
      </c>
      <c r="I150" s="109"/>
      <c r="J150" s="109"/>
      <c r="K150" s="109"/>
      <c r="L150" s="109"/>
    </row>
    <row r="151" spans="1:12" s="11" customFormat="1" ht="16.5" customHeight="1" x14ac:dyDescent="0.2">
      <c r="A151" s="701"/>
      <c r="B151" s="701"/>
      <c r="C151" s="702"/>
      <c r="D151" s="705"/>
      <c r="E151" s="680" t="s">
        <v>83</v>
      </c>
      <c r="F151" s="703">
        <f>F22+F121+F136+F9</f>
        <v>11691884</v>
      </c>
      <c r="G151" s="703">
        <f t="shared" ref="F151:G152" si="15">G22+G121+G136</f>
        <v>0</v>
      </c>
      <c r="H151" s="679">
        <f t="shared" ref="H151:H152" si="16">F151+G151</f>
        <v>11691884</v>
      </c>
      <c r="I151" s="109"/>
      <c r="J151" s="109"/>
      <c r="K151" s="109"/>
      <c r="L151" s="109"/>
    </row>
    <row r="152" spans="1:12" s="12" customFormat="1" ht="12" customHeight="1" x14ac:dyDescent="0.2">
      <c r="A152" s="706"/>
      <c r="B152" s="706"/>
      <c r="C152" s="707"/>
      <c r="D152" s="706"/>
      <c r="E152" s="681" t="s">
        <v>84</v>
      </c>
      <c r="F152" s="703">
        <f t="shared" si="15"/>
        <v>3439736</v>
      </c>
      <c r="G152" s="703">
        <f t="shared" si="15"/>
        <v>0</v>
      </c>
      <c r="H152" s="679">
        <f t="shared" si="16"/>
        <v>3439736</v>
      </c>
      <c r="I152" s="111"/>
      <c r="J152" s="111"/>
      <c r="K152" s="111"/>
      <c r="L152" s="111"/>
    </row>
    <row r="153" spans="1:12" s="12" customFormat="1" ht="12" customHeight="1" x14ac:dyDescent="0.2">
      <c r="A153" s="709"/>
      <c r="B153" s="709"/>
      <c r="C153" s="721"/>
      <c r="D153" s="709"/>
      <c r="E153" s="736" t="s">
        <v>292</v>
      </c>
      <c r="F153" s="737"/>
      <c r="G153" s="737"/>
      <c r="H153" s="292"/>
      <c r="I153" s="111"/>
      <c r="J153" s="111"/>
      <c r="K153" s="111"/>
      <c r="L153" s="111"/>
    </row>
    <row r="154" spans="1:12" s="12" customFormat="1" ht="14.25" customHeight="1" x14ac:dyDescent="0.2">
      <c r="A154" s="842" t="s">
        <v>167</v>
      </c>
      <c r="B154" s="842"/>
      <c r="C154" s="842"/>
      <c r="D154" s="842"/>
      <c r="E154" s="842"/>
      <c r="F154" s="333">
        <f>F156+F192+F193+F194+F195+F196</f>
        <v>261443652</v>
      </c>
      <c r="G154" s="333"/>
      <c r="H154" s="333">
        <f>H156+H192+H193+H194+H195+H196</f>
        <v>261443652</v>
      </c>
      <c r="I154" s="111"/>
      <c r="J154" s="111"/>
      <c r="K154" s="111"/>
      <c r="L154" s="111"/>
    </row>
    <row r="155" spans="1:12" s="12" customFormat="1" ht="14.25" customHeight="1" x14ac:dyDescent="0.2">
      <c r="A155" s="709"/>
      <c r="B155" s="709"/>
      <c r="C155" s="721"/>
      <c r="D155" s="709"/>
      <c r="E155" s="738"/>
      <c r="F155" s="731"/>
      <c r="G155" s="731"/>
      <c r="H155" s="731"/>
      <c r="I155" s="111"/>
      <c r="J155" s="111"/>
      <c r="K155" s="111"/>
      <c r="L155" s="111"/>
    </row>
    <row r="156" spans="1:12" ht="17.25" customHeight="1" x14ac:dyDescent="0.2">
      <c r="A156" s="863" t="s">
        <v>172</v>
      </c>
      <c r="B156" s="863"/>
      <c r="C156" s="863"/>
      <c r="D156" s="863"/>
      <c r="E156" s="863"/>
      <c r="F156" s="333">
        <f>F172+F169+F157+F181+F184+F191</f>
        <v>215601162</v>
      </c>
      <c r="G156" s="333"/>
      <c r="H156" s="333">
        <f>H172+H169+H157+H182+H184+H191+H183</f>
        <v>215601162</v>
      </c>
      <c r="I156" s="108"/>
      <c r="J156" s="108"/>
      <c r="K156" s="108"/>
      <c r="L156" s="108"/>
    </row>
    <row r="157" spans="1:12" s="11" customFormat="1" ht="12.75" customHeight="1" x14ac:dyDescent="0.2">
      <c r="A157" s="708"/>
      <c r="B157" s="732">
        <v>1</v>
      </c>
      <c r="C157" s="709" t="s">
        <v>108</v>
      </c>
      <c r="D157" s="692" t="s">
        <v>72</v>
      </c>
      <c r="E157" s="710" t="s">
        <v>93</v>
      </c>
      <c r="F157" s="333">
        <f>SUM(F158:F168)</f>
        <v>93537138</v>
      </c>
      <c r="G157" s="333"/>
      <c r="H157" s="333">
        <f t="shared" ref="H157:H184" si="17">G157+F157</f>
        <v>93537138</v>
      </c>
      <c r="I157" s="109"/>
      <c r="J157" s="112"/>
      <c r="K157" s="109"/>
      <c r="L157" s="109"/>
    </row>
    <row r="158" spans="1:12" s="26" customFormat="1" ht="12.75" customHeight="1" x14ac:dyDescent="0.2">
      <c r="A158" s="708"/>
      <c r="B158" s="711"/>
      <c r="C158" s="712"/>
      <c r="D158" s="712"/>
      <c r="E158" s="713" t="s">
        <v>216</v>
      </c>
      <c r="F158" s="714">
        <f>28854000</f>
        <v>28854000</v>
      </c>
      <c r="G158" s="714"/>
      <c r="H158" s="714">
        <f>F158</f>
        <v>28854000</v>
      </c>
      <c r="I158" s="110"/>
      <c r="J158" s="110"/>
      <c r="K158" s="110"/>
      <c r="L158" s="110"/>
    </row>
    <row r="159" spans="1:12" s="26" customFormat="1" ht="12.75" customHeight="1" x14ac:dyDescent="0.2">
      <c r="A159" s="708"/>
      <c r="B159" s="711"/>
      <c r="C159" s="712"/>
      <c r="D159" s="712"/>
      <c r="E159" s="713" t="s">
        <v>217</v>
      </c>
      <c r="F159" s="714">
        <v>3851210</v>
      </c>
      <c r="G159" s="714"/>
      <c r="H159" s="714">
        <f t="shared" ref="H159:H168" si="18">F159</f>
        <v>3851210</v>
      </c>
      <c r="I159" s="110"/>
      <c r="J159" s="110"/>
      <c r="K159" s="110"/>
      <c r="L159" s="110"/>
    </row>
    <row r="160" spans="1:12" s="26" customFormat="1" ht="12.75" customHeight="1" x14ac:dyDescent="0.2">
      <c r="A160" s="708"/>
      <c r="B160" s="711"/>
      <c r="C160" s="712"/>
      <c r="D160" s="712"/>
      <c r="E160" s="713" t="s">
        <v>218</v>
      </c>
      <c r="F160" s="714">
        <v>20288000</v>
      </c>
      <c r="G160" s="714"/>
      <c r="H160" s="714">
        <f t="shared" si="18"/>
        <v>20288000</v>
      </c>
      <c r="I160" s="110"/>
      <c r="J160" s="110"/>
      <c r="K160" s="110"/>
      <c r="L160" s="110"/>
    </row>
    <row r="161" spans="1:12" s="26" customFormat="1" ht="12.75" customHeight="1" x14ac:dyDescent="0.2">
      <c r="A161" s="708"/>
      <c r="B161" s="711"/>
      <c r="C161" s="712"/>
      <c r="D161" s="712"/>
      <c r="E161" s="713" t="s">
        <v>219</v>
      </c>
      <c r="F161" s="714">
        <v>100000</v>
      </c>
      <c r="G161" s="714"/>
      <c r="H161" s="714">
        <f t="shared" si="18"/>
        <v>100000</v>
      </c>
      <c r="I161" s="110"/>
      <c r="J161" s="110"/>
      <c r="K161" s="110"/>
      <c r="L161" s="110"/>
    </row>
    <row r="162" spans="1:12" s="26" customFormat="1" ht="12.75" customHeight="1" x14ac:dyDescent="0.2">
      <c r="A162" s="708"/>
      <c r="B162" s="711"/>
      <c r="C162" s="712"/>
      <c r="D162" s="712"/>
      <c r="E162" s="713" t="s">
        <v>220</v>
      </c>
      <c r="F162" s="714">
        <v>3325550</v>
      </c>
      <c r="G162" s="714"/>
      <c r="H162" s="714">
        <f t="shared" si="18"/>
        <v>3325550</v>
      </c>
      <c r="I162" s="110"/>
      <c r="J162" s="110"/>
      <c r="K162" s="110"/>
      <c r="L162" s="110"/>
    </row>
    <row r="163" spans="1:12" s="26" customFormat="1" ht="12.75" customHeight="1" x14ac:dyDescent="0.2">
      <c r="A163" s="708"/>
      <c r="B163" s="711"/>
      <c r="C163" s="712"/>
      <c r="D163" s="712"/>
      <c r="E163" s="713" t="s">
        <v>221</v>
      </c>
      <c r="F163" s="714">
        <v>6000000</v>
      </c>
      <c r="G163" s="714"/>
      <c r="H163" s="714">
        <f t="shared" si="18"/>
        <v>6000000</v>
      </c>
      <c r="I163" s="110"/>
      <c r="J163" s="110"/>
      <c r="K163" s="110"/>
      <c r="L163" s="110"/>
    </row>
    <row r="164" spans="1:12" s="26" customFormat="1" ht="12.75" customHeight="1" x14ac:dyDescent="0.2">
      <c r="A164" s="708"/>
      <c r="B164" s="711"/>
      <c r="C164" s="712"/>
      <c r="D164" s="712"/>
      <c r="E164" s="713" t="s">
        <v>222</v>
      </c>
      <c r="F164" s="714">
        <v>1285200</v>
      </c>
      <c r="G164" s="714"/>
      <c r="H164" s="714">
        <f t="shared" si="18"/>
        <v>1285200</v>
      </c>
      <c r="I164" s="110"/>
      <c r="J164" s="110"/>
      <c r="K164" s="110"/>
      <c r="L164" s="110"/>
    </row>
    <row r="165" spans="1:12" s="26" customFormat="1" ht="12.75" customHeight="1" x14ac:dyDescent="0.2">
      <c r="A165" s="708"/>
      <c r="B165" s="711"/>
      <c r="C165" s="712"/>
      <c r="D165" s="712"/>
      <c r="E165" s="713" t="s">
        <v>339</v>
      </c>
      <c r="F165" s="714">
        <f>28666782</f>
        <v>28666782</v>
      </c>
      <c r="G165" s="714"/>
      <c r="H165" s="714">
        <f t="shared" si="18"/>
        <v>28666782</v>
      </c>
      <c r="I165" s="110"/>
      <c r="J165" s="110"/>
      <c r="K165" s="110"/>
      <c r="L165" s="110"/>
    </row>
    <row r="166" spans="1:12" s="26" customFormat="1" ht="12.75" customHeight="1" x14ac:dyDescent="0.2">
      <c r="A166" s="708"/>
      <c r="B166" s="711"/>
      <c r="C166" s="712"/>
      <c r="D166" s="712"/>
      <c r="E166" s="713" t="s">
        <v>305</v>
      </c>
      <c r="F166" s="714">
        <v>50000</v>
      </c>
      <c r="G166" s="714"/>
      <c r="H166" s="714">
        <f t="shared" si="18"/>
        <v>50000</v>
      </c>
      <c r="I166" s="110"/>
      <c r="J166" s="110"/>
      <c r="K166" s="110"/>
      <c r="L166" s="110"/>
    </row>
    <row r="167" spans="1:12" s="26" customFormat="1" ht="12.75" customHeight="1" x14ac:dyDescent="0.2">
      <c r="A167" s="708"/>
      <c r="B167" s="711"/>
      <c r="C167" s="712"/>
      <c r="D167" s="712"/>
      <c r="E167" s="713" t="s">
        <v>303</v>
      </c>
      <c r="F167" s="714">
        <v>75396</v>
      </c>
      <c r="G167" s="714"/>
      <c r="H167" s="714">
        <f t="shared" si="18"/>
        <v>75396</v>
      </c>
      <c r="I167" s="110"/>
      <c r="J167" s="110"/>
      <c r="K167" s="110"/>
      <c r="L167" s="110"/>
    </row>
    <row r="168" spans="1:12" s="26" customFormat="1" ht="12.75" customHeight="1" x14ac:dyDescent="0.2">
      <c r="A168" s="708"/>
      <c r="B168" s="711"/>
      <c r="C168" s="712"/>
      <c r="D168" s="712"/>
      <c r="E168" s="713" t="s">
        <v>304</v>
      </c>
      <c r="F168" s="714">
        <v>1041000</v>
      </c>
      <c r="G168" s="714"/>
      <c r="H168" s="714">
        <f t="shared" si="18"/>
        <v>1041000</v>
      </c>
      <c r="I168" s="110"/>
      <c r="J168" s="110"/>
      <c r="K168" s="110"/>
      <c r="L168" s="110"/>
    </row>
    <row r="169" spans="1:12" s="11" customFormat="1" ht="12.75" customHeight="1" x14ac:dyDescent="0.2">
      <c r="A169" s="708"/>
      <c r="B169" s="732">
        <v>2</v>
      </c>
      <c r="C169" s="709" t="s">
        <v>109</v>
      </c>
      <c r="D169" s="692" t="s">
        <v>72</v>
      </c>
      <c r="E169" s="710" t="s">
        <v>110</v>
      </c>
      <c r="F169" s="333">
        <f>F170+F171</f>
        <v>48829966</v>
      </c>
      <c r="G169" s="333"/>
      <c r="H169" s="333">
        <f t="shared" si="17"/>
        <v>48829966</v>
      </c>
      <c r="I169" s="109"/>
      <c r="J169" s="109"/>
      <c r="K169" s="109"/>
      <c r="L169" s="109"/>
    </row>
    <row r="170" spans="1:12" s="26" customFormat="1" ht="13.5" customHeight="1" x14ac:dyDescent="0.2">
      <c r="A170" s="708"/>
      <c r="B170" s="711"/>
      <c r="C170" s="712"/>
      <c r="D170" s="712"/>
      <c r="E170" s="713" t="s">
        <v>223</v>
      </c>
      <c r="F170" s="714">
        <f>20622000+5880000+12078600+3675000+735000-587700</f>
        <v>42402900</v>
      </c>
      <c r="G170" s="714"/>
      <c r="H170" s="714">
        <f>F170</f>
        <v>42402900</v>
      </c>
      <c r="I170" s="110"/>
      <c r="J170" s="110"/>
      <c r="K170" s="110"/>
      <c r="L170" s="110"/>
    </row>
    <row r="171" spans="1:12" s="26" customFormat="1" ht="13.5" customHeight="1" x14ac:dyDescent="0.2">
      <c r="A171" s="708"/>
      <c r="B171" s="711"/>
      <c r="C171" s="712"/>
      <c r="D171" s="712"/>
      <c r="E171" s="713" t="s">
        <v>224</v>
      </c>
      <c r="F171" s="714">
        <f>4030533+2342067+299566-245100</f>
        <v>6427066</v>
      </c>
      <c r="G171" s="714"/>
      <c r="H171" s="714">
        <f>F171</f>
        <v>6427066</v>
      </c>
      <c r="I171" s="110"/>
      <c r="J171" s="110"/>
      <c r="K171" s="110"/>
      <c r="L171" s="110"/>
    </row>
    <row r="172" spans="1:12" s="11" customFormat="1" ht="12.75" customHeight="1" x14ac:dyDescent="0.2">
      <c r="A172" s="708"/>
      <c r="B172" s="732">
        <v>3</v>
      </c>
      <c r="C172" s="709" t="s">
        <v>111</v>
      </c>
      <c r="D172" s="692"/>
      <c r="E172" s="710" t="s">
        <v>162</v>
      </c>
      <c r="F172" s="333">
        <f>SUM(F173:F180)</f>
        <v>62262768</v>
      </c>
      <c r="G172" s="333"/>
      <c r="H172" s="333">
        <f>G172+F172</f>
        <v>62262768</v>
      </c>
      <c r="I172" s="110"/>
      <c r="J172" s="109"/>
      <c r="K172" s="109"/>
      <c r="L172" s="109"/>
    </row>
    <row r="173" spans="1:12" s="26" customFormat="1" ht="12.75" customHeight="1" x14ac:dyDescent="0.2">
      <c r="A173" s="708"/>
      <c r="B173" s="332"/>
      <c r="C173" s="721"/>
      <c r="D173" s="712" t="s">
        <v>72</v>
      </c>
      <c r="E173" s="713" t="s">
        <v>233</v>
      </c>
      <c r="F173" s="714">
        <v>3400000</v>
      </c>
      <c r="G173" s="714"/>
      <c r="H173" s="714">
        <f t="shared" si="17"/>
        <v>3400000</v>
      </c>
      <c r="I173" s="113"/>
      <c r="J173" s="110"/>
      <c r="K173" s="110"/>
      <c r="L173" s="110"/>
    </row>
    <row r="174" spans="1:12" s="26" customFormat="1" ht="12.75" customHeight="1" x14ac:dyDescent="0.2">
      <c r="A174" s="708"/>
      <c r="B174" s="332"/>
      <c r="C174" s="721"/>
      <c r="D174" s="712" t="s">
        <v>72</v>
      </c>
      <c r="E174" s="713" t="s">
        <v>225</v>
      </c>
      <c r="F174" s="714">
        <f>2380480+110720</f>
        <v>2491200</v>
      </c>
      <c r="G174" s="714"/>
      <c r="H174" s="714">
        <f t="shared" si="17"/>
        <v>2491200</v>
      </c>
      <c r="I174" s="110"/>
      <c r="J174" s="110"/>
      <c r="K174" s="110"/>
      <c r="L174" s="110"/>
    </row>
    <row r="175" spans="1:12" s="26" customFormat="1" ht="12.75" customHeight="1" x14ac:dyDescent="0.2">
      <c r="A175" s="708"/>
      <c r="B175" s="332"/>
      <c r="C175" s="721"/>
      <c r="D175" s="712" t="s">
        <v>72</v>
      </c>
      <c r="E175" s="713" t="s">
        <v>226</v>
      </c>
      <c r="F175" s="714">
        <f>25000+1650000</f>
        <v>1675000</v>
      </c>
      <c r="G175" s="714"/>
      <c r="H175" s="714">
        <f t="shared" si="17"/>
        <v>1675000</v>
      </c>
      <c r="I175" s="110"/>
      <c r="J175" s="110"/>
      <c r="K175" s="110"/>
      <c r="L175" s="110"/>
    </row>
    <row r="176" spans="1:12" s="26" customFormat="1" ht="12.75" customHeight="1" x14ac:dyDescent="0.2">
      <c r="A176" s="708"/>
      <c r="B176" s="332"/>
      <c r="C176" s="721"/>
      <c r="D176" s="712" t="s">
        <v>73</v>
      </c>
      <c r="E176" s="715" t="s">
        <v>227</v>
      </c>
      <c r="F176" s="714">
        <v>6200000</v>
      </c>
      <c r="G176" s="714"/>
      <c r="H176" s="714">
        <f t="shared" si="17"/>
        <v>6200000</v>
      </c>
      <c r="I176" s="110"/>
      <c r="J176" s="110"/>
      <c r="K176" s="110"/>
      <c r="L176" s="110"/>
    </row>
    <row r="177" spans="1:12" s="26" customFormat="1" ht="12.75" customHeight="1" x14ac:dyDescent="0.2">
      <c r="A177" s="708"/>
      <c r="B177" s="332"/>
      <c r="C177" s="721"/>
      <c r="D177" s="712" t="s">
        <v>73</v>
      </c>
      <c r="E177" s="713" t="s">
        <v>228</v>
      </c>
      <c r="F177" s="714">
        <f>2180000-436000+218000+109000</f>
        <v>2071000</v>
      </c>
      <c r="G177" s="714"/>
      <c r="H177" s="714">
        <f t="shared" si="17"/>
        <v>2071000</v>
      </c>
      <c r="I177" s="110"/>
      <c r="J177" s="110"/>
      <c r="K177" s="110"/>
      <c r="L177" s="110"/>
    </row>
    <row r="178" spans="1:12" s="26" customFormat="1" ht="14.25" customHeight="1" x14ac:dyDescent="0.2">
      <c r="A178" s="708"/>
      <c r="B178" s="332"/>
      <c r="C178" s="721"/>
      <c r="D178" s="712" t="s">
        <v>72</v>
      </c>
      <c r="E178" s="713" t="s">
        <v>234</v>
      </c>
      <c r="F178" s="714">
        <f>10583000+14747029+98040</f>
        <v>25428069</v>
      </c>
      <c r="G178" s="714"/>
      <c r="H178" s="714">
        <f t="shared" si="17"/>
        <v>25428069</v>
      </c>
      <c r="I178" s="110"/>
      <c r="J178" s="110"/>
      <c r="K178" s="110"/>
      <c r="L178" s="110"/>
    </row>
    <row r="179" spans="1:12" s="26" customFormat="1" ht="14.25" customHeight="1" x14ac:dyDescent="0.2">
      <c r="A179" s="708"/>
      <c r="B179" s="332"/>
      <c r="C179" s="721"/>
      <c r="D179" s="712" t="s">
        <v>72</v>
      </c>
      <c r="E179" s="713" t="s">
        <v>190</v>
      </c>
      <c r="F179" s="714">
        <v>17340000</v>
      </c>
      <c r="G179" s="714"/>
      <c r="H179" s="714">
        <f>F179</f>
        <v>17340000</v>
      </c>
      <c r="I179" s="110"/>
      <c r="J179" s="110"/>
      <c r="K179" s="110"/>
      <c r="L179" s="110"/>
    </row>
    <row r="180" spans="1:12" s="26" customFormat="1" ht="14.25" customHeight="1" x14ac:dyDescent="0.2">
      <c r="A180" s="708"/>
      <c r="B180" s="332"/>
      <c r="C180" s="721"/>
      <c r="D180" s="712" t="s">
        <v>72</v>
      </c>
      <c r="E180" s="713" t="s">
        <v>246</v>
      </c>
      <c r="F180" s="714">
        <f>1227388+2430111</f>
        <v>3657499</v>
      </c>
      <c r="G180" s="714"/>
      <c r="H180" s="714">
        <f>F180</f>
        <v>3657499</v>
      </c>
      <c r="I180" s="110"/>
      <c r="J180" s="110"/>
      <c r="K180" s="110"/>
      <c r="L180" s="110"/>
    </row>
    <row r="181" spans="1:12" s="26" customFormat="1" ht="14.25" customHeight="1" x14ac:dyDescent="0.2">
      <c r="A181" s="708"/>
      <c r="B181" s="332">
        <v>4</v>
      </c>
      <c r="C181" s="721" t="s">
        <v>112</v>
      </c>
      <c r="D181" s="712"/>
      <c r="E181" s="710" t="s">
        <v>306</v>
      </c>
      <c r="F181" s="333">
        <f>F182+F183</f>
        <v>2868237</v>
      </c>
      <c r="G181" s="333">
        <f>G182+G183</f>
        <v>0</v>
      </c>
      <c r="H181" s="333">
        <f>F181</f>
        <v>2868237</v>
      </c>
      <c r="I181" s="110"/>
      <c r="J181" s="110"/>
      <c r="K181" s="110"/>
      <c r="L181" s="110"/>
    </row>
    <row r="182" spans="1:12" s="26" customFormat="1" ht="12.75" customHeight="1" x14ac:dyDescent="0.2">
      <c r="A182" s="708"/>
      <c r="B182" s="332"/>
      <c r="C182" s="716"/>
      <c r="D182" s="712" t="s">
        <v>72</v>
      </c>
      <c r="E182" s="717" t="s">
        <v>307</v>
      </c>
      <c r="F182" s="714">
        <v>2603920</v>
      </c>
      <c r="G182" s="714"/>
      <c r="H182" s="714">
        <f t="shared" si="17"/>
        <v>2603920</v>
      </c>
      <c r="I182" s="110"/>
      <c r="J182" s="110"/>
      <c r="K182" s="110"/>
      <c r="L182" s="110"/>
    </row>
    <row r="183" spans="1:12" s="26" customFormat="1" ht="12.75" customHeight="1" x14ac:dyDescent="0.2">
      <c r="A183" s="708"/>
      <c r="B183" s="332"/>
      <c r="C183" s="721"/>
      <c r="D183" s="712" t="s">
        <v>72</v>
      </c>
      <c r="E183" s="718" t="s">
        <v>295</v>
      </c>
      <c r="F183" s="714">
        <f>2868237-2603920</f>
        <v>264317</v>
      </c>
      <c r="G183" s="714"/>
      <c r="H183" s="714">
        <f t="shared" si="17"/>
        <v>264317</v>
      </c>
      <c r="I183" s="110"/>
      <c r="J183" s="110"/>
      <c r="K183" s="110"/>
      <c r="L183" s="110"/>
    </row>
    <row r="184" spans="1:12" s="26" customFormat="1" ht="12.75" customHeight="1" x14ac:dyDescent="0.2">
      <c r="A184" s="708"/>
      <c r="B184" s="332">
        <v>5</v>
      </c>
      <c r="C184" s="721" t="s">
        <v>113</v>
      </c>
      <c r="D184" s="712" t="s">
        <v>72</v>
      </c>
      <c r="E184" s="710" t="s">
        <v>248</v>
      </c>
      <c r="F184" s="333">
        <f>SUM(F185:F190)</f>
        <v>7619074</v>
      </c>
      <c r="G184" s="333"/>
      <c r="H184" s="333">
        <f t="shared" si="17"/>
        <v>7619074</v>
      </c>
      <c r="I184" s="110"/>
      <c r="J184" s="110"/>
      <c r="K184" s="110"/>
      <c r="L184" s="110"/>
    </row>
    <row r="185" spans="1:12" s="26" customFormat="1" ht="12.75" customHeight="1" x14ac:dyDescent="0.2">
      <c r="A185" s="708"/>
      <c r="B185" s="332"/>
      <c r="C185" s="721"/>
      <c r="D185" s="712"/>
      <c r="E185" s="717" t="s">
        <v>254</v>
      </c>
      <c r="F185" s="292">
        <f>622300+2453640</f>
        <v>3075940</v>
      </c>
      <c r="G185" s="292"/>
      <c r="H185" s="292">
        <f>F185</f>
        <v>3075940</v>
      </c>
      <c r="I185" s="224"/>
      <c r="J185" s="110"/>
      <c r="K185" s="110"/>
      <c r="L185" s="110"/>
    </row>
    <row r="186" spans="1:12" s="26" customFormat="1" ht="12.75" customHeight="1" x14ac:dyDescent="0.2">
      <c r="A186" s="708"/>
      <c r="B186" s="332"/>
      <c r="C186" s="721"/>
      <c r="D186" s="712"/>
      <c r="E186" s="717" t="s">
        <v>340</v>
      </c>
      <c r="F186" s="292">
        <v>253600</v>
      </c>
      <c r="G186" s="292"/>
      <c r="H186" s="292">
        <f t="shared" ref="H186:H190" si="19">F186</f>
        <v>253600</v>
      </c>
      <c r="I186" s="224"/>
      <c r="J186" s="110"/>
      <c r="K186" s="110"/>
      <c r="L186" s="110"/>
    </row>
    <row r="187" spans="1:12" s="26" customFormat="1" ht="12.75" customHeight="1" x14ac:dyDescent="0.2">
      <c r="A187" s="708"/>
      <c r="B187" s="332"/>
      <c r="C187" s="721"/>
      <c r="D187" s="712"/>
      <c r="E187" s="717" t="s">
        <v>377</v>
      </c>
      <c r="F187" s="292">
        <v>1500000</v>
      </c>
      <c r="G187" s="292"/>
      <c r="H187" s="292">
        <f t="shared" si="19"/>
        <v>1500000</v>
      </c>
      <c r="I187" s="224"/>
      <c r="J187" s="110"/>
      <c r="K187" s="110"/>
      <c r="L187" s="110"/>
    </row>
    <row r="188" spans="1:12" s="26" customFormat="1" ht="12.75" customHeight="1" x14ac:dyDescent="0.2">
      <c r="A188" s="708"/>
      <c r="B188" s="332"/>
      <c r="C188" s="721"/>
      <c r="D188" s="712"/>
      <c r="E188" s="717" t="s">
        <v>378</v>
      </c>
      <c r="F188" s="292">
        <v>2220000</v>
      </c>
      <c r="G188" s="292"/>
      <c r="H188" s="292">
        <f t="shared" si="19"/>
        <v>2220000</v>
      </c>
      <c r="I188" s="224"/>
      <c r="J188" s="110"/>
      <c r="K188" s="110"/>
      <c r="L188" s="110"/>
    </row>
    <row r="189" spans="1:12" s="26" customFormat="1" ht="12.75" customHeight="1" x14ac:dyDescent="0.2">
      <c r="A189" s="708"/>
      <c r="B189" s="332"/>
      <c r="C189" s="721"/>
      <c r="D189" s="712"/>
      <c r="E189" s="717" t="s">
        <v>379</v>
      </c>
      <c r="F189" s="292">
        <f>579998-51743</f>
        <v>528255</v>
      </c>
      <c r="G189" s="292"/>
      <c r="H189" s="292">
        <f t="shared" si="19"/>
        <v>528255</v>
      </c>
      <c r="I189" s="224"/>
      <c r="J189" s="110"/>
      <c r="K189" s="110"/>
      <c r="L189" s="110"/>
    </row>
    <row r="190" spans="1:12" s="26" customFormat="1" ht="12.75" customHeight="1" x14ac:dyDescent="0.2">
      <c r="A190" s="708"/>
      <c r="B190" s="332"/>
      <c r="C190" s="721"/>
      <c r="D190" s="712"/>
      <c r="E190" s="717" t="s">
        <v>380</v>
      </c>
      <c r="F190" s="292">
        <v>41279</v>
      </c>
      <c r="G190" s="292"/>
      <c r="H190" s="292">
        <f t="shared" si="19"/>
        <v>41279</v>
      </c>
      <c r="I190" s="224"/>
      <c r="J190" s="110"/>
      <c r="K190" s="110"/>
      <c r="L190" s="110"/>
    </row>
    <row r="191" spans="1:12" ht="12.75" customHeight="1" x14ac:dyDescent="0.2">
      <c r="A191" s="732" t="s">
        <v>59</v>
      </c>
      <c r="B191" s="332">
        <v>6</v>
      </c>
      <c r="C191" s="721" t="s">
        <v>114</v>
      </c>
      <c r="D191" s="721" t="s">
        <v>72</v>
      </c>
      <c r="E191" s="719" t="s">
        <v>341</v>
      </c>
      <c r="F191" s="292">
        <v>483979</v>
      </c>
      <c r="G191" s="292"/>
      <c r="H191" s="292">
        <f>F191</f>
        <v>483979</v>
      </c>
      <c r="I191" s="108"/>
      <c r="J191" s="108"/>
      <c r="K191" s="108"/>
      <c r="L191" s="108"/>
    </row>
    <row r="192" spans="1:12" ht="15.75" customHeight="1" x14ac:dyDescent="0.2">
      <c r="A192" s="833" t="s">
        <v>115</v>
      </c>
      <c r="B192" s="833"/>
      <c r="C192" s="833"/>
      <c r="D192" s="833"/>
      <c r="E192" s="833"/>
      <c r="F192" s="333">
        <v>0</v>
      </c>
      <c r="G192" s="333"/>
      <c r="H192" s="333">
        <f>F192</f>
        <v>0</v>
      </c>
      <c r="I192" s="114"/>
      <c r="J192" s="108"/>
      <c r="K192" s="108"/>
      <c r="L192" s="108"/>
    </row>
    <row r="193" spans="1:12" ht="15.75" customHeight="1" x14ac:dyDescent="0.2">
      <c r="A193" s="833" t="s">
        <v>116</v>
      </c>
      <c r="B193" s="833"/>
      <c r="C193" s="833"/>
      <c r="D193" s="833"/>
      <c r="E193" s="833"/>
      <c r="F193" s="333">
        <v>0</v>
      </c>
      <c r="G193" s="333"/>
      <c r="H193" s="333">
        <v>0</v>
      </c>
      <c r="I193" s="108"/>
      <c r="J193" s="108"/>
      <c r="K193" s="108"/>
      <c r="L193" s="108"/>
    </row>
    <row r="194" spans="1:12" s="108" customFormat="1" ht="17.25" customHeight="1" x14ac:dyDescent="0.2">
      <c r="A194" s="833" t="s">
        <v>117</v>
      </c>
      <c r="B194" s="833"/>
      <c r="C194" s="833"/>
      <c r="D194" s="833"/>
      <c r="E194" s="833"/>
      <c r="F194" s="333">
        <f>1856-1856</f>
        <v>0</v>
      </c>
      <c r="G194" s="333"/>
      <c r="H194" s="333">
        <f>F194</f>
        <v>0</v>
      </c>
    </row>
    <row r="195" spans="1:12" ht="17.25" customHeight="1" x14ac:dyDescent="0.2">
      <c r="A195" s="833" t="s">
        <v>118</v>
      </c>
      <c r="B195" s="833"/>
      <c r="C195" s="833"/>
      <c r="D195" s="833"/>
      <c r="E195" s="833"/>
      <c r="F195" s="333">
        <v>0</v>
      </c>
      <c r="G195" s="333"/>
      <c r="H195" s="333">
        <v>0</v>
      </c>
      <c r="I195" s="108"/>
      <c r="J195" s="108"/>
      <c r="K195" s="108"/>
      <c r="L195" s="108"/>
    </row>
    <row r="196" spans="1:12" ht="15" customHeight="1" x14ac:dyDescent="0.2">
      <c r="A196" s="720" t="s">
        <v>119</v>
      </c>
      <c r="B196" s="720"/>
      <c r="C196" s="720"/>
      <c r="D196" s="720"/>
      <c r="E196" s="720"/>
      <c r="F196" s="333">
        <f>SUM(F197:F203)</f>
        <v>45842490</v>
      </c>
      <c r="G196" s="333"/>
      <c r="H196" s="333">
        <f>F196+G196</f>
        <v>45842490</v>
      </c>
      <c r="I196" s="108"/>
      <c r="J196" s="108"/>
      <c r="K196" s="108"/>
      <c r="L196" s="108"/>
    </row>
    <row r="197" spans="1:12" ht="14.25" customHeight="1" x14ac:dyDescent="0.2">
      <c r="A197" s="732"/>
      <c r="B197" s="721">
        <v>1</v>
      </c>
      <c r="C197" s="691" t="s">
        <v>181</v>
      </c>
      <c r="D197" s="691" t="s">
        <v>72</v>
      </c>
      <c r="E197" s="331" t="s">
        <v>120</v>
      </c>
      <c r="F197" s="292">
        <v>1819000</v>
      </c>
      <c r="G197" s="292"/>
      <c r="H197" s="292">
        <f t="shared" ref="H197:H198" si="20">F197+G197</f>
        <v>1819000</v>
      </c>
      <c r="I197" s="108"/>
      <c r="J197" s="108"/>
      <c r="K197" s="108"/>
      <c r="L197" s="108"/>
    </row>
    <row r="198" spans="1:12" ht="14.25" customHeight="1" x14ac:dyDescent="0.2">
      <c r="A198" s="732"/>
      <c r="B198" s="721">
        <f>B197+1</f>
        <v>2</v>
      </c>
      <c r="C198" s="691" t="s">
        <v>181</v>
      </c>
      <c r="D198" s="691" t="s">
        <v>72</v>
      </c>
      <c r="E198" s="331" t="s">
        <v>65</v>
      </c>
      <c r="F198" s="292">
        <v>35204694</v>
      </c>
      <c r="G198" s="292"/>
      <c r="H198" s="292">
        <f t="shared" si="20"/>
        <v>35204694</v>
      </c>
      <c r="I198" s="108"/>
      <c r="J198" s="108"/>
      <c r="K198" s="108"/>
      <c r="L198" s="108"/>
    </row>
    <row r="199" spans="1:12" ht="14.25" customHeight="1" x14ac:dyDescent="0.2">
      <c r="A199" s="732"/>
      <c r="B199" s="721">
        <f t="shared" ref="B199:B203" si="21">B198+1</f>
        <v>3</v>
      </c>
      <c r="C199" s="691" t="s">
        <v>181</v>
      </c>
      <c r="D199" s="691" t="s">
        <v>72</v>
      </c>
      <c r="E199" s="331" t="s">
        <v>229</v>
      </c>
      <c r="F199" s="292">
        <v>4400000</v>
      </c>
      <c r="G199" s="292"/>
      <c r="H199" s="292">
        <f>F199</f>
        <v>4400000</v>
      </c>
      <c r="I199" s="108"/>
      <c r="J199" s="108"/>
      <c r="K199" s="108"/>
      <c r="L199" s="108"/>
    </row>
    <row r="200" spans="1:12" ht="14.25" customHeight="1" x14ac:dyDescent="0.2">
      <c r="A200" s="732"/>
      <c r="B200" s="721">
        <f t="shared" si="21"/>
        <v>4</v>
      </c>
      <c r="C200" s="691" t="s">
        <v>181</v>
      </c>
      <c r="D200" s="691" t="s">
        <v>72</v>
      </c>
      <c r="E200" s="725" t="s">
        <v>329</v>
      </c>
      <c r="F200" s="292">
        <f>500000+1298339</f>
        <v>1798339</v>
      </c>
      <c r="G200" s="292"/>
      <c r="H200" s="292">
        <f>F200</f>
        <v>1798339</v>
      </c>
      <c r="I200" s="108"/>
      <c r="J200" s="108"/>
      <c r="K200" s="108"/>
      <c r="L200" s="108"/>
    </row>
    <row r="201" spans="1:12" ht="12" customHeight="1" x14ac:dyDescent="0.2">
      <c r="A201" s="732"/>
      <c r="B201" s="721">
        <f t="shared" si="21"/>
        <v>5</v>
      </c>
      <c r="C201" s="691" t="s">
        <v>181</v>
      </c>
      <c r="D201" s="691" t="s">
        <v>73</v>
      </c>
      <c r="E201" s="726" t="s">
        <v>250</v>
      </c>
      <c r="F201" s="292">
        <v>618415</v>
      </c>
      <c r="G201" s="292"/>
      <c r="H201" s="292">
        <f>F201</f>
        <v>618415</v>
      </c>
      <c r="I201" s="108"/>
      <c r="J201" s="108"/>
      <c r="K201" s="108"/>
      <c r="L201" s="108"/>
    </row>
    <row r="202" spans="1:12" ht="12" customHeight="1" x14ac:dyDescent="0.2">
      <c r="A202" s="732"/>
      <c r="B202" s="721">
        <f t="shared" si="21"/>
        <v>6</v>
      </c>
      <c r="C202" s="691" t="s">
        <v>181</v>
      </c>
      <c r="D202" s="691" t="s">
        <v>73</v>
      </c>
      <c r="E202" s="726" t="s">
        <v>333</v>
      </c>
      <c r="F202" s="292">
        <f>6*90000+362042</f>
        <v>902042</v>
      </c>
      <c r="G202" s="292"/>
      <c r="H202" s="292">
        <f>F202</f>
        <v>902042</v>
      </c>
      <c r="I202" s="108"/>
      <c r="J202" s="108"/>
      <c r="K202" s="108"/>
      <c r="L202" s="108"/>
    </row>
    <row r="203" spans="1:12" ht="12" customHeight="1" x14ac:dyDescent="0.2">
      <c r="A203" s="727"/>
      <c r="B203" s="721">
        <f t="shared" si="21"/>
        <v>7</v>
      </c>
      <c r="C203" s="727" t="s">
        <v>181</v>
      </c>
      <c r="D203" s="727" t="s">
        <v>72</v>
      </c>
      <c r="E203" s="728" t="s">
        <v>336</v>
      </c>
      <c r="F203" s="729">
        <v>1100000</v>
      </c>
      <c r="G203" s="730"/>
      <c r="H203" s="38">
        <f>F203+G203</f>
        <v>1100000</v>
      </c>
    </row>
    <row r="204" spans="1:12" ht="16.5" customHeight="1" x14ac:dyDescent="0.2">
      <c r="A204" s="842" t="s">
        <v>173</v>
      </c>
      <c r="B204" s="842"/>
      <c r="C204" s="842"/>
      <c r="D204" s="842"/>
      <c r="E204" s="842"/>
      <c r="F204" s="333">
        <f>F205+F207</f>
        <v>0</v>
      </c>
      <c r="G204" s="333">
        <f>G205+G207</f>
        <v>257714297</v>
      </c>
      <c r="H204" s="333">
        <f>G204</f>
        <v>257714297</v>
      </c>
      <c r="I204" s="108"/>
      <c r="J204" s="108"/>
      <c r="K204" s="108"/>
      <c r="L204" s="108"/>
    </row>
    <row r="205" spans="1:12" ht="16.5" customHeight="1" x14ac:dyDescent="0.2">
      <c r="A205" s="863" t="s">
        <v>302</v>
      </c>
      <c r="B205" s="863"/>
      <c r="C205" s="863"/>
      <c r="D205" s="863"/>
      <c r="E205" s="863"/>
      <c r="F205" s="333">
        <f>F206</f>
        <v>0</v>
      </c>
      <c r="G205" s="333">
        <f>G206</f>
        <v>15000000</v>
      </c>
      <c r="H205" s="333">
        <f>F205+G205</f>
        <v>15000000</v>
      </c>
      <c r="I205" s="108"/>
      <c r="J205" s="108"/>
      <c r="K205" s="108"/>
      <c r="L205" s="108"/>
    </row>
    <row r="206" spans="1:12" ht="16.5" customHeight="1" x14ac:dyDescent="0.2">
      <c r="A206" s="731"/>
      <c r="B206" s="731" t="s">
        <v>15</v>
      </c>
      <c r="C206" s="731" t="s">
        <v>342</v>
      </c>
      <c r="D206" s="731" t="s">
        <v>73</v>
      </c>
      <c r="E206" s="731" t="s">
        <v>381</v>
      </c>
      <c r="F206" s="333"/>
      <c r="G206" s="333">
        <v>15000000</v>
      </c>
      <c r="H206" s="333">
        <f>F206+G206</f>
        <v>15000000</v>
      </c>
      <c r="I206" s="108"/>
      <c r="J206" s="108"/>
      <c r="K206" s="108"/>
      <c r="L206" s="108"/>
    </row>
    <row r="207" spans="1:12" ht="16.5" customHeight="1" x14ac:dyDescent="0.2">
      <c r="A207" s="724"/>
      <c r="B207" s="863" t="s">
        <v>301</v>
      </c>
      <c r="C207" s="863"/>
      <c r="D207" s="863"/>
      <c r="E207" s="863"/>
      <c r="F207" s="333">
        <f>F208+F211</f>
        <v>0</v>
      </c>
      <c r="G207" s="333">
        <f>G208+G211+G209+G210</f>
        <v>242714297</v>
      </c>
      <c r="H207" s="333">
        <f>F207+G207</f>
        <v>242714297</v>
      </c>
      <c r="I207" s="108"/>
      <c r="J207" s="108"/>
      <c r="K207" s="108"/>
      <c r="L207" s="108"/>
    </row>
    <row r="208" spans="1:12" ht="16.5" customHeight="1" x14ac:dyDescent="0.2">
      <c r="A208" s="724"/>
      <c r="B208" s="731" t="s">
        <v>15</v>
      </c>
      <c r="C208" s="722" t="s">
        <v>182</v>
      </c>
      <c r="D208" s="697" t="s">
        <v>73</v>
      </c>
      <c r="E208" s="722" t="s">
        <v>311</v>
      </c>
      <c r="F208" s="292"/>
      <c r="G208" s="292">
        <v>75000000</v>
      </c>
      <c r="H208" s="292">
        <f>F208+G208</f>
        <v>75000000</v>
      </c>
      <c r="I208" s="108"/>
      <c r="J208" s="108"/>
      <c r="K208" s="108"/>
      <c r="L208" s="108"/>
    </row>
    <row r="209" spans="1:12" ht="16.5" customHeight="1" x14ac:dyDescent="0.2">
      <c r="A209" s="724"/>
      <c r="B209" s="731">
        <v>2</v>
      </c>
      <c r="C209" s="722"/>
      <c r="D209" s="722"/>
      <c r="E209" s="722" t="s">
        <v>276</v>
      </c>
      <c r="F209" s="292"/>
      <c r="G209" s="292">
        <v>139204250</v>
      </c>
      <c r="H209" s="292">
        <f>G209+F209</f>
        <v>139204250</v>
      </c>
      <c r="I209" s="108"/>
      <c r="J209" s="108"/>
      <c r="K209" s="108"/>
      <c r="L209" s="108"/>
    </row>
    <row r="210" spans="1:12" ht="16.5" customHeight="1" x14ac:dyDescent="0.2">
      <c r="A210" s="724"/>
      <c r="B210" s="731">
        <v>3</v>
      </c>
      <c r="C210" s="722"/>
      <c r="D210" s="722"/>
      <c r="E210" s="722" t="s">
        <v>343</v>
      </c>
      <c r="F210" s="292"/>
      <c r="G210" s="292">
        <v>27203979</v>
      </c>
      <c r="H210" s="292">
        <f>G210+F210</f>
        <v>27203979</v>
      </c>
      <c r="I210" s="108"/>
      <c r="J210" s="108"/>
      <c r="K210" s="108"/>
      <c r="L210" s="108"/>
    </row>
    <row r="211" spans="1:12" ht="17.25" customHeight="1" x14ac:dyDescent="0.2">
      <c r="A211" s="724"/>
      <c r="B211" s="697">
        <v>4</v>
      </c>
      <c r="C211" s="697" t="s">
        <v>182</v>
      </c>
      <c r="D211" s="697" t="s">
        <v>72</v>
      </c>
      <c r="E211" s="725" t="s">
        <v>65</v>
      </c>
      <c r="F211" s="333"/>
      <c r="G211" s="292">
        <v>1306068</v>
      </c>
      <c r="H211" s="292">
        <f>F211+G211</f>
        <v>1306068</v>
      </c>
      <c r="I211" s="108"/>
      <c r="J211" s="108"/>
      <c r="K211" s="108"/>
      <c r="L211" s="108"/>
    </row>
    <row r="212" spans="1:12" ht="17.25" customHeight="1" x14ac:dyDescent="0.2">
      <c r="A212" s="724"/>
      <c r="B212" s="697"/>
      <c r="C212" s="697"/>
      <c r="D212" s="697"/>
      <c r="E212" s="725"/>
      <c r="F212" s="333"/>
      <c r="G212" s="292"/>
      <c r="H212" s="292"/>
      <c r="I212" s="108"/>
      <c r="J212" s="108"/>
      <c r="K212" s="108"/>
      <c r="L212" s="108"/>
    </row>
    <row r="213" spans="1:12" ht="15" customHeight="1" x14ac:dyDescent="0.2">
      <c r="A213" s="842" t="s">
        <v>163</v>
      </c>
      <c r="B213" s="842"/>
      <c r="C213" s="842"/>
      <c r="D213" s="842"/>
      <c r="E213" s="842"/>
      <c r="F213" s="333">
        <f>F222+F219+F217+F216+F215+F214</f>
        <v>38434241</v>
      </c>
      <c r="G213" s="333">
        <f>G219</f>
        <v>0</v>
      </c>
      <c r="H213" s="333">
        <f>H214+H215+H216+H217+H219+H222</f>
        <v>38434241</v>
      </c>
      <c r="I213" s="108"/>
      <c r="J213" s="108"/>
      <c r="K213" s="108"/>
      <c r="L213" s="108"/>
    </row>
    <row r="214" spans="1:12" ht="14.25" customHeight="1" x14ac:dyDescent="0.2">
      <c r="A214" s="833" t="s">
        <v>121</v>
      </c>
      <c r="B214" s="833"/>
      <c r="C214" s="833"/>
      <c r="D214" s="833"/>
      <c r="E214" s="833"/>
      <c r="F214" s="292">
        <v>0</v>
      </c>
      <c r="G214" s="292"/>
      <c r="H214" s="292">
        <v>0</v>
      </c>
      <c r="I214" s="108"/>
      <c r="J214" s="108"/>
      <c r="K214" s="108"/>
      <c r="L214" s="108"/>
    </row>
    <row r="215" spans="1:12" ht="14.25" customHeight="1" x14ac:dyDescent="0.2">
      <c r="A215" s="833" t="s">
        <v>122</v>
      </c>
      <c r="B215" s="833"/>
      <c r="C215" s="833"/>
      <c r="D215" s="833"/>
      <c r="E215" s="833"/>
      <c r="F215" s="292">
        <v>0</v>
      </c>
      <c r="G215" s="292"/>
      <c r="H215" s="292">
        <v>0</v>
      </c>
      <c r="I215" s="108"/>
      <c r="J215" s="108"/>
      <c r="K215" s="108"/>
      <c r="L215" s="108"/>
    </row>
    <row r="216" spans="1:12" ht="14.25" customHeight="1" x14ac:dyDescent="0.2">
      <c r="A216" s="833" t="s">
        <v>165</v>
      </c>
      <c r="B216" s="833"/>
      <c r="C216" s="833"/>
      <c r="D216" s="833"/>
      <c r="E216" s="833"/>
      <c r="F216" s="292">
        <v>0</v>
      </c>
      <c r="G216" s="292"/>
      <c r="H216" s="292">
        <v>0</v>
      </c>
      <c r="I216" s="108"/>
      <c r="J216" s="108"/>
      <c r="K216" s="108"/>
      <c r="L216" s="108"/>
    </row>
    <row r="217" spans="1:12" ht="14.25" customHeight="1" x14ac:dyDescent="0.2">
      <c r="A217" s="833" t="s">
        <v>174</v>
      </c>
      <c r="B217" s="833"/>
      <c r="C217" s="833"/>
      <c r="D217" s="833"/>
      <c r="E217" s="833"/>
      <c r="F217" s="333">
        <f>F218</f>
        <v>5800000</v>
      </c>
      <c r="G217" s="333"/>
      <c r="H217" s="333">
        <f>H218</f>
        <v>5800000</v>
      </c>
      <c r="I217" s="114"/>
      <c r="J217" s="108"/>
      <c r="K217" s="108"/>
      <c r="L217" s="108"/>
    </row>
    <row r="218" spans="1:12" ht="14.25" customHeight="1" x14ac:dyDescent="0.2">
      <c r="A218" s="732"/>
      <c r="B218" s="721">
        <v>1</v>
      </c>
      <c r="C218" s="721" t="s">
        <v>253</v>
      </c>
      <c r="D218" s="721" t="s">
        <v>73</v>
      </c>
      <c r="E218" s="335" t="s">
        <v>123</v>
      </c>
      <c r="F218" s="292">
        <v>5800000</v>
      </c>
      <c r="G218" s="292"/>
      <c r="H218" s="292">
        <f t="shared" ref="H218:H224" si="22">F218+G218</f>
        <v>5800000</v>
      </c>
      <c r="I218" s="108"/>
      <c r="J218" s="108"/>
      <c r="K218" s="108"/>
      <c r="L218" s="108"/>
    </row>
    <row r="219" spans="1:12" ht="14.25" customHeight="1" x14ac:dyDescent="0.2">
      <c r="A219" s="833" t="s">
        <v>175</v>
      </c>
      <c r="B219" s="833"/>
      <c r="C219" s="833"/>
      <c r="D219" s="833"/>
      <c r="E219" s="833"/>
      <c r="F219" s="333">
        <f>+F221+F220</f>
        <v>32518830</v>
      </c>
      <c r="G219" s="333">
        <f>+G221+G220</f>
        <v>0</v>
      </c>
      <c r="H219" s="333">
        <f>F219+G219</f>
        <v>32518830</v>
      </c>
      <c r="I219" s="108"/>
      <c r="J219" s="108"/>
      <c r="K219" s="108"/>
      <c r="L219" s="108"/>
    </row>
    <row r="220" spans="1:12" ht="14.25" customHeight="1" x14ac:dyDescent="0.2">
      <c r="A220" s="732"/>
      <c r="B220" s="721">
        <v>1</v>
      </c>
      <c r="C220" s="721" t="s">
        <v>251</v>
      </c>
      <c r="D220" s="721" t="s">
        <v>73</v>
      </c>
      <c r="E220" s="722" t="s">
        <v>124</v>
      </c>
      <c r="F220" s="292">
        <f>27154169</f>
        <v>27154169</v>
      </c>
      <c r="G220" s="292"/>
      <c r="H220" s="292">
        <f t="shared" si="22"/>
        <v>27154169</v>
      </c>
      <c r="I220" s="108"/>
      <c r="J220" s="108"/>
      <c r="K220" s="108"/>
      <c r="L220" s="108"/>
    </row>
    <row r="221" spans="1:12" ht="14.25" customHeight="1" x14ac:dyDescent="0.2">
      <c r="A221" s="732"/>
      <c r="B221" s="721">
        <v>2</v>
      </c>
      <c r="C221" s="721" t="s">
        <v>252</v>
      </c>
      <c r="D221" s="721" t="s">
        <v>72</v>
      </c>
      <c r="E221" s="331" t="s">
        <v>40</v>
      </c>
      <c r="F221" s="292">
        <v>5364661</v>
      </c>
      <c r="G221" s="292"/>
      <c r="H221" s="292">
        <f t="shared" si="22"/>
        <v>5364661</v>
      </c>
      <c r="I221" s="108"/>
      <c r="J221" s="108"/>
      <c r="K221" s="108"/>
      <c r="L221" s="108"/>
    </row>
    <row r="222" spans="1:12" ht="14.25" customHeight="1" x14ac:dyDescent="0.2">
      <c r="A222" s="833" t="s">
        <v>125</v>
      </c>
      <c r="B222" s="833"/>
      <c r="C222" s="833"/>
      <c r="D222" s="833"/>
      <c r="E222" s="833"/>
      <c r="F222" s="333">
        <f>F223+F224</f>
        <v>115411</v>
      </c>
      <c r="G222" s="333"/>
      <c r="H222" s="333">
        <f t="shared" si="22"/>
        <v>115411</v>
      </c>
      <c r="I222" s="108"/>
      <c r="J222" s="108"/>
      <c r="K222" s="108"/>
      <c r="L222" s="108"/>
    </row>
    <row r="223" spans="1:12" ht="14.25" customHeight="1" x14ac:dyDescent="0.2">
      <c r="A223" s="732"/>
      <c r="B223" s="721">
        <v>1</v>
      </c>
      <c r="C223" s="834" t="s">
        <v>126</v>
      </c>
      <c r="D223" s="721" t="s">
        <v>73</v>
      </c>
      <c r="E223" s="839" t="s">
        <v>187</v>
      </c>
      <c r="F223" s="292">
        <v>0</v>
      </c>
      <c r="G223" s="292"/>
      <c r="H223" s="292">
        <f t="shared" si="22"/>
        <v>0</v>
      </c>
      <c r="I223" s="108"/>
      <c r="J223" s="108"/>
      <c r="K223" s="108"/>
      <c r="L223" s="108"/>
    </row>
    <row r="224" spans="1:12" ht="14.25" customHeight="1" x14ac:dyDescent="0.2">
      <c r="A224" s="732"/>
      <c r="B224" s="721">
        <v>2</v>
      </c>
      <c r="C224" s="834"/>
      <c r="D224" s="721" t="s">
        <v>72</v>
      </c>
      <c r="E224" s="839"/>
      <c r="F224" s="292">
        <v>115411</v>
      </c>
      <c r="G224" s="292"/>
      <c r="H224" s="292">
        <f t="shared" si="22"/>
        <v>115411</v>
      </c>
      <c r="I224" s="108"/>
      <c r="J224" s="108"/>
      <c r="K224" s="108"/>
      <c r="L224" s="108"/>
    </row>
    <row r="225" spans="1:12" ht="17.25" customHeight="1" x14ac:dyDescent="0.2">
      <c r="A225" s="843" t="s">
        <v>127</v>
      </c>
      <c r="B225" s="843"/>
      <c r="C225" s="843"/>
      <c r="D225" s="843"/>
      <c r="E225" s="843"/>
      <c r="F225" s="333">
        <f>SUM(F226:F246)</f>
        <v>20004985.181102362</v>
      </c>
      <c r="G225" s="333"/>
      <c r="H225" s="333">
        <f>F225+G225</f>
        <v>20004985.181102362</v>
      </c>
      <c r="I225" s="114"/>
      <c r="J225" s="108"/>
      <c r="K225" s="108"/>
      <c r="L225" s="108"/>
    </row>
    <row r="226" spans="1:12" ht="12.75" customHeight="1" x14ac:dyDescent="0.2">
      <c r="A226" s="332"/>
      <c r="B226" s="721">
        <v>1</v>
      </c>
      <c r="C226" s="697" t="s">
        <v>168</v>
      </c>
      <c r="D226" s="697" t="s">
        <v>72</v>
      </c>
      <c r="E226" s="722" t="s">
        <v>337</v>
      </c>
      <c r="F226" s="733">
        <f>2186145+782047</f>
        <v>2968192</v>
      </c>
      <c r="G226" s="292"/>
      <c r="H226" s="292">
        <f>F226+G226</f>
        <v>2968192</v>
      </c>
      <c r="I226" s="108"/>
      <c r="J226" s="108"/>
      <c r="K226" s="108"/>
      <c r="L226" s="108"/>
    </row>
    <row r="227" spans="1:12" ht="12.75" customHeight="1" x14ac:dyDescent="0.2">
      <c r="A227" s="732"/>
      <c r="B227" s="834">
        <v>2</v>
      </c>
      <c r="C227" s="834" t="s">
        <v>131</v>
      </c>
      <c r="D227" s="721" t="s">
        <v>73</v>
      </c>
      <c r="E227" s="839" t="s">
        <v>184</v>
      </c>
      <c r="F227" s="292">
        <v>4348432</v>
      </c>
      <c r="G227" s="292"/>
      <c r="H227" s="292">
        <f t="shared" ref="H227:H239" si="23">F227</f>
        <v>4348432</v>
      </c>
      <c r="I227" s="108"/>
      <c r="J227" s="108"/>
      <c r="K227" s="108"/>
      <c r="L227" s="108"/>
    </row>
    <row r="228" spans="1:12" ht="12.75" customHeight="1" x14ac:dyDescent="0.2">
      <c r="A228" s="732"/>
      <c r="B228" s="834"/>
      <c r="C228" s="834"/>
      <c r="D228" s="721" t="s">
        <v>72</v>
      </c>
      <c r="E228" s="839"/>
      <c r="F228" s="292"/>
      <c r="G228" s="292"/>
      <c r="H228" s="292">
        <f t="shared" si="23"/>
        <v>0</v>
      </c>
      <c r="I228" s="108"/>
      <c r="J228" s="108"/>
      <c r="K228" s="108"/>
      <c r="L228" s="108"/>
    </row>
    <row r="229" spans="1:12" ht="12.75" customHeight="1" x14ac:dyDescent="0.2">
      <c r="A229" s="732"/>
      <c r="B229" s="834">
        <v>3</v>
      </c>
      <c r="C229" s="834" t="s">
        <v>129</v>
      </c>
      <c r="D229" s="721" t="s">
        <v>73</v>
      </c>
      <c r="E229" s="839" t="s">
        <v>186</v>
      </c>
      <c r="F229" s="292"/>
      <c r="G229" s="292"/>
      <c r="H229" s="292">
        <f t="shared" si="23"/>
        <v>0</v>
      </c>
      <c r="I229" s="108"/>
      <c r="J229" s="108"/>
      <c r="K229" s="108"/>
      <c r="L229" s="108"/>
    </row>
    <row r="230" spans="1:12" ht="12.75" customHeight="1" x14ac:dyDescent="0.2">
      <c r="A230" s="732"/>
      <c r="B230" s="834"/>
      <c r="C230" s="834"/>
      <c r="D230" s="721" t="s">
        <v>72</v>
      </c>
      <c r="E230" s="839"/>
      <c r="F230" s="292">
        <f>750000/1.27+'[1]1'!$J$73+1000000</f>
        <v>3748208.1811023625</v>
      </c>
      <c r="G230" s="292"/>
      <c r="H230" s="292">
        <f t="shared" si="23"/>
        <v>3748208.1811023625</v>
      </c>
      <c r="I230" s="108"/>
      <c r="J230" s="108"/>
      <c r="K230" s="108"/>
      <c r="L230" s="108"/>
    </row>
    <row r="231" spans="1:12" ht="12.75" customHeight="1" x14ac:dyDescent="0.2">
      <c r="A231" s="732"/>
      <c r="B231" s="834">
        <v>4</v>
      </c>
      <c r="C231" s="834" t="s">
        <v>128</v>
      </c>
      <c r="D231" s="721" t="s">
        <v>73</v>
      </c>
      <c r="E231" s="839" t="s">
        <v>188</v>
      </c>
      <c r="F231" s="292">
        <v>2000000</v>
      </c>
      <c r="G231" s="292"/>
      <c r="H231" s="292">
        <f t="shared" si="23"/>
        <v>2000000</v>
      </c>
      <c r="I231" s="108"/>
      <c r="J231" s="108"/>
      <c r="K231" s="108"/>
      <c r="L231" s="108"/>
    </row>
    <row r="232" spans="1:12" ht="12.75" customHeight="1" x14ac:dyDescent="0.2">
      <c r="A232" s="732"/>
      <c r="B232" s="834"/>
      <c r="C232" s="834"/>
      <c r="D232" s="721" t="s">
        <v>72</v>
      </c>
      <c r="E232" s="839"/>
      <c r="F232" s="292"/>
      <c r="G232" s="292"/>
      <c r="H232" s="292">
        <f>F232</f>
        <v>0</v>
      </c>
      <c r="I232" s="108"/>
      <c r="J232" s="108"/>
      <c r="K232" s="108"/>
      <c r="L232" s="108"/>
    </row>
    <row r="233" spans="1:12" ht="12.75" customHeight="1" x14ac:dyDescent="0.2">
      <c r="A233" s="732"/>
      <c r="B233" s="834">
        <v>5</v>
      </c>
      <c r="C233" s="834" t="s">
        <v>203</v>
      </c>
      <c r="D233" s="721" t="s">
        <v>73</v>
      </c>
      <c r="E233" s="839" t="s">
        <v>200</v>
      </c>
      <c r="F233" s="292"/>
      <c r="G233" s="292"/>
      <c r="H233" s="292">
        <f t="shared" si="23"/>
        <v>0</v>
      </c>
      <c r="I233" s="108"/>
      <c r="J233" s="108"/>
      <c r="K233" s="108"/>
      <c r="L233" s="108"/>
    </row>
    <row r="234" spans="1:12" ht="12.75" customHeight="1" x14ac:dyDescent="0.2">
      <c r="A234" s="732"/>
      <c r="B234" s="834"/>
      <c r="C234" s="834"/>
      <c r="D234" s="721" t="s">
        <v>72</v>
      </c>
      <c r="E234" s="839"/>
      <c r="F234" s="292"/>
      <c r="G234" s="292"/>
      <c r="H234" s="292">
        <f t="shared" si="23"/>
        <v>0</v>
      </c>
      <c r="I234" s="108"/>
      <c r="J234" s="108"/>
      <c r="K234" s="108"/>
      <c r="L234" s="108"/>
    </row>
    <row r="235" spans="1:12" ht="12.75" customHeight="1" x14ac:dyDescent="0.2">
      <c r="A235" s="732"/>
      <c r="B235" s="834">
        <v>6</v>
      </c>
      <c r="C235" s="834" t="s">
        <v>199</v>
      </c>
      <c r="D235" s="721" t="s">
        <v>73</v>
      </c>
      <c r="E235" s="839" t="s">
        <v>201</v>
      </c>
      <c r="F235" s="292"/>
      <c r="G235" s="292"/>
      <c r="H235" s="292">
        <f t="shared" si="23"/>
        <v>0</v>
      </c>
      <c r="I235" s="108"/>
      <c r="J235" s="108"/>
      <c r="K235" s="108"/>
      <c r="L235" s="108"/>
    </row>
    <row r="236" spans="1:12" ht="12.75" customHeight="1" x14ac:dyDescent="0.2">
      <c r="A236" s="732"/>
      <c r="B236" s="834"/>
      <c r="C236" s="834"/>
      <c r="D236" s="721" t="s">
        <v>72</v>
      </c>
      <c r="E236" s="839"/>
      <c r="F236" s="292">
        <v>1820713</v>
      </c>
      <c r="G236" s="292"/>
      <c r="H236" s="292">
        <f t="shared" si="23"/>
        <v>1820713</v>
      </c>
      <c r="I236" s="108"/>
      <c r="J236" s="108"/>
      <c r="K236" s="108"/>
      <c r="L236" s="108"/>
    </row>
    <row r="237" spans="1:12" ht="12.75" customHeight="1" x14ac:dyDescent="0.2">
      <c r="A237" s="732"/>
      <c r="B237" s="834">
        <v>7</v>
      </c>
      <c r="C237" s="834" t="s">
        <v>198</v>
      </c>
      <c r="D237" s="721" t="s">
        <v>73</v>
      </c>
      <c r="E237" s="839" t="s">
        <v>202</v>
      </c>
      <c r="F237" s="292"/>
      <c r="G237" s="292"/>
      <c r="H237" s="292">
        <f t="shared" si="23"/>
        <v>0</v>
      </c>
      <c r="I237" s="108"/>
      <c r="J237" s="108"/>
      <c r="K237" s="108"/>
      <c r="L237" s="108"/>
    </row>
    <row r="238" spans="1:12" ht="12.75" customHeight="1" x14ac:dyDescent="0.2">
      <c r="A238" s="732"/>
      <c r="B238" s="834"/>
      <c r="C238" s="834"/>
      <c r="D238" s="721" t="s">
        <v>72</v>
      </c>
      <c r="E238" s="839"/>
      <c r="F238" s="292"/>
      <c r="G238" s="292"/>
      <c r="H238" s="292">
        <f t="shared" si="23"/>
        <v>0</v>
      </c>
      <c r="I238" s="108"/>
      <c r="J238" s="108"/>
      <c r="K238" s="108"/>
      <c r="L238" s="108"/>
    </row>
    <row r="239" spans="1:12" ht="12.75" customHeight="1" x14ac:dyDescent="0.2">
      <c r="A239" s="732"/>
      <c r="B239" s="834">
        <v>8</v>
      </c>
      <c r="C239" s="834" t="s">
        <v>130</v>
      </c>
      <c r="D239" s="721" t="s">
        <v>73</v>
      </c>
      <c r="E239" s="839" t="s">
        <v>183</v>
      </c>
      <c r="F239" s="292">
        <f>500000+500000</f>
        <v>1000000</v>
      </c>
      <c r="G239" s="292"/>
      <c r="H239" s="292">
        <f t="shared" si="23"/>
        <v>1000000</v>
      </c>
      <c r="I239" s="108"/>
      <c r="J239" s="108"/>
      <c r="K239" s="108"/>
      <c r="L239" s="108"/>
    </row>
    <row r="240" spans="1:12" ht="12.75" customHeight="1" x14ac:dyDescent="0.2">
      <c r="A240" s="732"/>
      <c r="B240" s="834"/>
      <c r="C240" s="834"/>
      <c r="D240" s="721" t="s">
        <v>72</v>
      </c>
      <c r="E240" s="839"/>
      <c r="F240" s="292">
        <v>0</v>
      </c>
      <c r="G240" s="292"/>
      <c r="H240" s="292">
        <f t="shared" ref="H240:H245" si="24">F240</f>
        <v>0</v>
      </c>
      <c r="I240" s="108"/>
      <c r="J240" s="108"/>
      <c r="K240" s="108"/>
      <c r="L240" s="108"/>
    </row>
    <row r="241" spans="1:12" ht="12.75" customHeight="1" x14ac:dyDescent="0.2">
      <c r="A241" s="732"/>
      <c r="B241" s="834">
        <v>9</v>
      </c>
      <c r="C241" s="834" t="s">
        <v>169</v>
      </c>
      <c r="D241" s="721" t="s">
        <v>73</v>
      </c>
      <c r="E241" s="839" t="s">
        <v>170</v>
      </c>
      <c r="F241" s="292">
        <v>55900</v>
      </c>
      <c r="G241" s="292"/>
      <c r="H241" s="292">
        <f t="shared" si="24"/>
        <v>55900</v>
      </c>
      <c r="I241" s="108"/>
      <c r="J241" s="108"/>
      <c r="K241" s="108"/>
      <c r="L241" s="108"/>
    </row>
    <row r="242" spans="1:12" ht="12.75" customHeight="1" x14ac:dyDescent="0.2">
      <c r="A242" s="732"/>
      <c r="B242" s="834"/>
      <c r="C242" s="834"/>
      <c r="D242" s="721" t="s">
        <v>72</v>
      </c>
      <c r="E242" s="839"/>
      <c r="F242" s="292"/>
      <c r="G242" s="292"/>
      <c r="H242" s="292">
        <f>F242</f>
        <v>0</v>
      </c>
      <c r="I242" s="108"/>
      <c r="J242" s="108"/>
      <c r="K242" s="108"/>
      <c r="L242" s="108"/>
    </row>
    <row r="243" spans="1:12" ht="12.75" customHeight="1" x14ac:dyDescent="0.2">
      <c r="A243" s="732"/>
      <c r="B243" s="846">
        <v>10</v>
      </c>
      <c r="C243" s="846" t="s">
        <v>382</v>
      </c>
      <c r="D243" s="721" t="s">
        <v>73</v>
      </c>
      <c r="E243" s="848" t="s">
        <v>383</v>
      </c>
      <c r="F243" s="292">
        <v>63540</v>
      </c>
      <c r="G243" s="292"/>
      <c r="H243" s="292"/>
      <c r="I243" s="108"/>
      <c r="J243" s="108"/>
      <c r="K243" s="108"/>
      <c r="L243" s="108"/>
    </row>
    <row r="244" spans="1:12" ht="12.75" customHeight="1" x14ac:dyDescent="0.2">
      <c r="A244" s="732"/>
      <c r="B244" s="847"/>
      <c r="C244" s="847"/>
      <c r="D244" s="721" t="s">
        <v>72</v>
      </c>
      <c r="E244" s="849"/>
      <c r="F244" s="292"/>
      <c r="G244" s="292"/>
      <c r="H244" s="292"/>
      <c r="I244" s="108"/>
      <c r="J244" s="108"/>
      <c r="K244" s="108"/>
      <c r="L244" s="108"/>
    </row>
    <row r="245" spans="1:12" ht="12.75" customHeight="1" x14ac:dyDescent="0.2">
      <c r="A245" s="732"/>
      <c r="B245" s="834">
        <v>11</v>
      </c>
      <c r="C245" s="834" t="s">
        <v>300</v>
      </c>
      <c r="D245" s="721" t="s">
        <v>73</v>
      </c>
      <c r="E245" s="839" t="s">
        <v>171</v>
      </c>
      <c r="F245" s="292">
        <v>4000000</v>
      </c>
      <c r="G245" s="292"/>
      <c r="H245" s="292">
        <f t="shared" si="24"/>
        <v>4000000</v>
      </c>
      <c r="I245" s="108"/>
      <c r="J245" s="108"/>
      <c r="K245" s="108"/>
      <c r="L245" s="108"/>
    </row>
    <row r="246" spans="1:12" ht="12.75" customHeight="1" x14ac:dyDescent="0.2">
      <c r="A246" s="732"/>
      <c r="B246" s="834"/>
      <c r="C246" s="834"/>
      <c r="D246" s="721" t="s">
        <v>72</v>
      </c>
      <c r="E246" s="839"/>
      <c r="F246" s="292"/>
      <c r="G246" s="292"/>
      <c r="H246" s="292">
        <f>F246</f>
        <v>0</v>
      </c>
      <c r="I246" s="108"/>
      <c r="J246" s="108"/>
      <c r="K246" s="108"/>
      <c r="L246" s="108"/>
    </row>
    <row r="247" spans="1:12" ht="14.25" customHeight="1" x14ac:dyDescent="0.2">
      <c r="A247" s="843" t="s">
        <v>132</v>
      </c>
      <c r="B247" s="843"/>
      <c r="C247" s="843"/>
      <c r="D247" s="843"/>
      <c r="E247" s="843"/>
      <c r="F247" s="333">
        <f>F248+F249</f>
        <v>0</v>
      </c>
      <c r="G247" s="333">
        <f>G248+G249</f>
        <v>3369266</v>
      </c>
      <c r="H247" s="333">
        <f>G247</f>
        <v>3369266</v>
      </c>
      <c r="I247" s="114"/>
      <c r="J247" s="108"/>
      <c r="K247" s="108"/>
      <c r="L247" s="108"/>
    </row>
    <row r="248" spans="1:12" ht="14.25" customHeight="1" x14ac:dyDescent="0.2">
      <c r="A248" s="732"/>
      <c r="B248" s="332">
        <v>1</v>
      </c>
      <c r="C248" s="845" t="s">
        <v>189</v>
      </c>
      <c r="D248" s="332" t="s">
        <v>72</v>
      </c>
      <c r="E248" s="844" t="s">
        <v>211</v>
      </c>
      <c r="F248" s="333"/>
      <c r="G248" s="292">
        <f>450-450</f>
        <v>0</v>
      </c>
      <c r="H248" s="292">
        <f>G248</f>
        <v>0</v>
      </c>
      <c r="I248" s="108"/>
      <c r="J248" s="108"/>
      <c r="K248" s="108"/>
      <c r="L248" s="108"/>
    </row>
    <row r="249" spans="1:12" ht="14.25" customHeight="1" x14ac:dyDescent="0.2">
      <c r="A249" s="732"/>
      <c r="B249" s="332">
        <v>2</v>
      </c>
      <c r="C249" s="845"/>
      <c r="D249" s="332" t="s">
        <v>73</v>
      </c>
      <c r="E249" s="844"/>
      <c r="F249" s="333"/>
      <c r="G249" s="292">
        <v>3369266</v>
      </c>
      <c r="H249" s="292">
        <f>G249</f>
        <v>3369266</v>
      </c>
      <c r="I249" s="108"/>
      <c r="J249" s="108"/>
      <c r="K249" s="108"/>
      <c r="L249" s="108"/>
    </row>
    <row r="250" spans="1:12" ht="14.25" customHeight="1" x14ac:dyDescent="0.2">
      <c r="A250" s="843" t="s">
        <v>133</v>
      </c>
      <c r="B250" s="843"/>
      <c r="C250" s="843"/>
      <c r="D250" s="843"/>
      <c r="E250" s="843"/>
      <c r="F250" s="333">
        <v>91197</v>
      </c>
      <c r="G250" s="333"/>
      <c r="H250" s="292">
        <f>F250+G250</f>
        <v>91197</v>
      </c>
      <c r="I250" s="108"/>
      <c r="J250" s="108"/>
      <c r="K250" s="108"/>
      <c r="L250" s="108"/>
    </row>
    <row r="251" spans="1:12" ht="14.25" customHeight="1" x14ac:dyDescent="0.2">
      <c r="A251" s="843" t="s">
        <v>134</v>
      </c>
      <c r="B251" s="843"/>
      <c r="C251" s="843"/>
      <c r="D251" s="843"/>
      <c r="E251" s="843"/>
      <c r="F251" s="333">
        <v>0</v>
      </c>
      <c r="G251" s="333">
        <v>5231394</v>
      </c>
      <c r="H251" s="333">
        <f>G251</f>
        <v>5231394</v>
      </c>
      <c r="I251" s="108"/>
      <c r="J251" s="108"/>
      <c r="K251" s="108"/>
      <c r="L251" s="108"/>
    </row>
    <row r="252" spans="1:12" ht="14.25" customHeight="1" x14ac:dyDescent="0.2">
      <c r="A252" s="843" t="s">
        <v>135</v>
      </c>
      <c r="B252" s="843"/>
      <c r="C252" s="843"/>
      <c r="D252" s="843"/>
      <c r="E252" s="843"/>
      <c r="F252" s="333">
        <f>G253+F254+F255+F256+F257</f>
        <v>359341200</v>
      </c>
      <c r="G252" s="333">
        <f>G254+G255+G256+G257</f>
        <v>0</v>
      </c>
      <c r="H252" s="333">
        <f>G252+F252</f>
        <v>359341200</v>
      </c>
      <c r="I252" s="108"/>
      <c r="J252" s="114"/>
      <c r="K252" s="108"/>
      <c r="L252" s="108"/>
    </row>
    <row r="253" spans="1:12" ht="12.75" customHeight="1" x14ac:dyDescent="0.2">
      <c r="A253" s="732"/>
      <c r="B253" s="332" t="s">
        <v>15</v>
      </c>
      <c r="C253" s="845" t="s">
        <v>164</v>
      </c>
      <c r="D253" s="332" t="s">
        <v>72</v>
      </c>
      <c r="E253" s="857" t="s">
        <v>261</v>
      </c>
      <c r="F253" s="730"/>
      <c r="G253" s="292">
        <f>195488846+303165</f>
        <v>195792011</v>
      </c>
      <c r="H253" s="333">
        <f>G253+F253</f>
        <v>195792011</v>
      </c>
      <c r="I253" s="108"/>
      <c r="J253" s="108"/>
      <c r="K253" s="108"/>
      <c r="L253" s="108"/>
    </row>
    <row r="254" spans="1:12" ht="11.25" customHeight="1" x14ac:dyDescent="0.2">
      <c r="A254" s="732"/>
      <c r="B254" s="332"/>
      <c r="C254" s="845"/>
      <c r="D254" s="332" t="s">
        <v>73</v>
      </c>
      <c r="E254" s="857"/>
      <c r="F254" s="292"/>
      <c r="G254" s="292"/>
      <c r="H254" s="333">
        <f>F254</f>
        <v>0</v>
      </c>
      <c r="I254" s="108"/>
      <c r="J254" s="108"/>
      <c r="K254" s="108"/>
      <c r="L254" s="108"/>
    </row>
    <row r="255" spans="1:12" ht="12.75" customHeight="1" x14ac:dyDescent="0.2">
      <c r="A255" s="732"/>
      <c r="B255" s="332"/>
      <c r="C255" s="845"/>
      <c r="D255" s="332" t="s">
        <v>94</v>
      </c>
      <c r="E255" s="857"/>
      <c r="F255" s="292"/>
      <c r="G255" s="292"/>
      <c r="H255" s="333">
        <f>F255</f>
        <v>0</v>
      </c>
      <c r="I255" s="108"/>
      <c r="J255" s="108"/>
      <c r="K255" s="108"/>
      <c r="L255" s="108"/>
    </row>
    <row r="256" spans="1:12" ht="12.75" customHeight="1" x14ac:dyDescent="0.2">
      <c r="A256" s="732"/>
      <c r="B256" s="332">
        <v>2</v>
      </c>
      <c r="C256" s="332" t="s">
        <v>242</v>
      </c>
      <c r="D256" s="332" t="s">
        <v>73</v>
      </c>
      <c r="E256" s="741" t="s">
        <v>243</v>
      </c>
      <c r="F256" s="292">
        <v>155000000</v>
      </c>
      <c r="G256" s="292">
        <v>0</v>
      </c>
      <c r="H256" s="333">
        <f>F256</f>
        <v>155000000</v>
      </c>
      <c r="I256" s="108"/>
      <c r="J256" s="114"/>
      <c r="K256" s="108"/>
      <c r="L256" s="108"/>
    </row>
    <row r="257" spans="1:12" ht="12.75" customHeight="1" x14ac:dyDescent="0.2">
      <c r="A257" s="732"/>
      <c r="B257" s="332" t="s">
        <v>17</v>
      </c>
      <c r="C257" s="332" t="s">
        <v>244</v>
      </c>
      <c r="D257" s="332" t="s">
        <v>72</v>
      </c>
      <c r="E257" s="742" t="s">
        <v>245</v>
      </c>
      <c r="F257" s="292">
        <f>7794568+754621</f>
        <v>8549189</v>
      </c>
      <c r="G257" s="292"/>
      <c r="H257" s="333">
        <f>F257</f>
        <v>8549189</v>
      </c>
      <c r="I257" s="108"/>
      <c r="J257" s="108"/>
      <c r="K257" s="108"/>
      <c r="L257" s="108"/>
    </row>
    <row r="258" spans="1:12" ht="14.25" customHeight="1" x14ac:dyDescent="0.2">
      <c r="A258" s="732"/>
      <c r="B258" s="332"/>
      <c r="C258" s="332"/>
      <c r="D258" s="332"/>
      <c r="E258" s="741"/>
      <c r="F258" s="292"/>
      <c r="G258" s="292"/>
      <c r="H258" s="333"/>
      <c r="I258" s="108"/>
      <c r="J258" s="108"/>
      <c r="K258" s="108"/>
      <c r="L258" s="108"/>
    </row>
    <row r="259" spans="1:12" ht="16.5" customHeight="1" x14ac:dyDescent="0.2">
      <c r="A259" s="858" t="s">
        <v>272</v>
      </c>
      <c r="B259" s="858"/>
      <c r="C259" s="858"/>
      <c r="D259" s="858"/>
      <c r="E259" s="858"/>
      <c r="F259" s="678">
        <f>F154+F204+F213+F225+F247+F250+F251+F252</f>
        <v>679315275.18110228</v>
      </c>
      <c r="G259" s="678">
        <f>G154+G204+G213+G225+G247+G250+G251+G252</f>
        <v>266314957</v>
      </c>
      <c r="H259" s="678">
        <f>F259+G259</f>
        <v>945630232.18110228</v>
      </c>
      <c r="I259" s="108"/>
      <c r="J259" s="108"/>
      <c r="K259" s="108"/>
      <c r="L259" s="108"/>
    </row>
    <row r="260" spans="1:12" s="30" customFormat="1" ht="14.25" customHeight="1" x14ac:dyDescent="0.2">
      <c r="A260" s="856" t="s">
        <v>97</v>
      </c>
      <c r="B260" s="856"/>
      <c r="C260" s="856"/>
      <c r="D260" s="856"/>
      <c r="E260" s="856"/>
      <c r="F260" s="743">
        <f>+G253+F246+F240+F236+F234+F228+F224+F221+F200+F199+F198+F197+F183+F182+F179+F178+F175+F174+F173+F171+F170+F167+F165+F164+F163+F162+F161+F160+F159+F158+F180+F250+F257+F184+F232+F230+F168</f>
        <v>465499606.18110234</v>
      </c>
      <c r="G260" s="743">
        <f>G204+G251</f>
        <v>262945691</v>
      </c>
      <c r="H260" s="743">
        <f>F260+G260</f>
        <v>728445297.18110228</v>
      </c>
      <c r="I260" s="115"/>
      <c r="J260" s="115"/>
      <c r="K260" s="111"/>
      <c r="L260" s="115"/>
    </row>
    <row r="261" spans="1:12" s="30" customFormat="1" ht="14.25" customHeight="1" x14ac:dyDescent="0.2">
      <c r="A261" s="860" t="s">
        <v>293</v>
      </c>
      <c r="B261" s="860"/>
      <c r="C261" s="860"/>
      <c r="D261" s="860"/>
      <c r="E261" s="860"/>
      <c r="F261" s="743"/>
      <c r="G261" s="743"/>
      <c r="H261" s="743">
        <f t="shared" ref="H261:H262" si="25">F261+G261</f>
        <v>0</v>
      </c>
      <c r="I261" s="205"/>
      <c r="J261" s="115"/>
      <c r="K261" s="111"/>
      <c r="L261" s="115"/>
    </row>
    <row r="262" spans="1:12" s="30" customFormat="1" ht="14.25" customHeight="1" x14ac:dyDescent="0.2">
      <c r="A262" s="744"/>
      <c r="B262" s="744"/>
      <c r="C262" s="744"/>
      <c r="D262" s="744"/>
      <c r="E262" s="745" t="s">
        <v>294</v>
      </c>
      <c r="F262" s="746">
        <f>F256+F220+F218+F176+F177+F202</f>
        <v>197127211</v>
      </c>
      <c r="G262" s="746">
        <f>G249+G220</f>
        <v>3369266</v>
      </c>
      <c r="H262" s="743">
        <f t="shared" si="25"/>
        <v>200496477</v>
      </c>
      <c r="I262" s="212"/>
      <c r="J262" s="205"/>
      <c r="K262" s="111"/>
      <c r="L262" s="115"/>
    </row>
    <row r="263" spans="1:12" ht="14.25" customHeight="1" x14ac:dyDescent="0.2">
      <c r="A263" s="861" t="s">
        <v>249</v>
      </c>
      <c r="B263" s="861"/>
      <c r="C263" s="861"/>
      <c r="D263" s="861"/>
      <c r="E263" s="861"/>
      <c r="F263" s="747">
        <f>F259+F150</f>
        <v>694446895.18110228</v>
      </c>
      <c r="G263" s="747">
        <f>G259+G150</f>
        <v>266314957</v>
      </c>
      <c r="H263" s="747">
        <f>F263+G263</f>
        <v>960761852.18110228</v>
      </c>
      <c r="I263" s="108"/>
      <c r="J263" s="108"/>
      <c r="K263" s="108"/>
      <c r="L263" s="108"/>
    </row>
    <row r="264" spans="1:12" ht="14.25" customHeight="1" x14ac:dyDescent="0.2">
      <c r="A264" s="859" t="s">
        <v>97</v>
      </c>
      <c r="B264" s="859"/>
      <c r="C264" s="859"/>
      <c r="D264" s="859"/>
      <c r="E264" s="859"/>
      <c r="F264" s="747">
        <f>F260+F151</f>
        <v>477191490.18110234</v>
      </c>
      <c r="G264" s="747">
        <f>G260+G151</f>
        <v>262945691</v>
      </c>
      <c r="H264" s="747">
        <f>F264+G264</f>
        <v>740137181.18110228</v>
      </c>
      <c r="I264" s="108"/>
      <c r="J264" s="108"/>
      <c r="K264" s="108"/>
      <c r="L264" s="108"/>
    </row>
    <row r="265" spans="1:12" ht="14.25" customHeight="1" x14ac:dyDescent="0.2">
      <c r="A265" s="859" t="s">
        <v>95</v>
      </c>
      <c r="B265" s="859"/>
      <c r="C265" s="859"/>
      <c r="D265" s="859"/>
      <c r="E265" s="859"/>
      <c r="F265" s="747">
        <v>0</v>
      </c>
      <c r="G265" s="747">
        <v>0</v>
      </c>
      <c r="H265" s="747">
        <f>F265+G265</f>
        <v>0</v>
      </c>
      <c r="I265" s="108"/>
      <c r="J265" s="108"/>
      <c r="K265" s="108"/>
      <c r="L265" s="108"/>
    </row>
    <row r="266" spans="1:12" ht="14.25" customHeight="1" x14ac:dyDescent="0.2">
      <c r="A266" s="859" t="s">
        <v>96</v>
      </c>
      <c r="B266" s="859"/>
      <c r="C266" s="859"/>
      <c r="D266" s="859"/>
      <c r="E266" s="859"/>
      <c r="F266" s="747">
        <f>F262+F152</f>
        <v>200566947</v>
      </c>
      <c r="G266" s="747">
        <f>G262+G152</f>
        <v>3369266</v>
      </c>
      <c r="H266" s="747">
        <f>F266+G266</f>
        <v>203936213</v>
      </c>
      <c r="I266" s="108"/>
      <c r="J266" s="108"/>
      <c r="K266" s="108"/>
      <c r="L266" s="108"/>
    </row>
    <row r="267" spans="1:12" ht="15" customHeight="1" x14ac:dyDescent="0.2">
      <c r="A267" s="855" t="s">
        <v>136</v>
      </c>
      <c r="B267" s="855"/>
      <c r="C267" s="855"/>
      <c r="D267" s="855"/>
      <c r="E267" s="855"/>
      <c r="F267" s="855"/>
      <c r="G267" s="855"/>
      <c r="H267" s="855"/>
      <c r="I267" s="108"/>
      <c r="J267" s="108"/>
      <c r="K267" s="108"/>
      <c r="L267" s="108"/>
    </row>
    <row r="268" spans="1:12" ht="16.5" customHeight="1" x14ac:dyDescent="0.2">
      <c r="A268" s="709"/>
      <c r="B268" s="709"/>
      <c r="C268" s="738" t="s">
        <v>137</v>
      </c>
      <c r="D268" s="738"/>
      <c r="E268" s="738"/>
      <c r="F268" s="731"/>
      <c r="G268" s="731"/>
      <c r="H268" s="731"/>
      <c r="I268" s="108"/>
      <c r="J268" s="108"/>
      <c r="K268" s="108"/>
      <c r="L268" s="108"/>
    </row>
    <row r="269" spans="1:12" ht="12.75" customHeight="1" x14ac:dyDescent="0.2">
      <c r="A269" s="721" t="s">
        <v>15</v>
      </c>
      <c r="B269" s="721"/>
      <c r="C269" s="721" t="s">
        <v>138</v>
      </c>
      <c r="D269" s="721"/>
      <c r="E269" s="331" t="s">
        <v>25</v>
      </c>
      <c r="F269" s="292">
        <f>'5 kiadások'!E99</f>
        <v>168513217</v>
      </c>
      <c r="G269" s="292"/>
      <c r="H269" s="292">
        <f>F269+G269</f>
        <v>168513217</v>
      </c>
      <c r="I269" s="108"/>
      <c r="J269" s="108"/>
      <c r="K269" s="108"/>
      <c r="L269" s="108"/>
    </row>
    <row r="270" spans="1:12" ht="12.75" customHeight="1" x14ac:dyDescent="0.2">
      <c r="A270" s="721" t="s">
        <v>16</v>
      </c>
      <c r="B270" s="721"/>
      <c r="C270" s="721" t="s">
        <v>139</v>
      </c>
      <c r="D270" s="721"/>
      <c r="E270" s="331" t="s">
        <v>74</v>
      </c>
      <c r="F270" s="292">
        <f>'5 kiadások'!F99</f>
        <v>32215966</v>
      </c>
      <c r="G270" s="292"/>
      <c r="H270" s="292">
        <f>F270+G270</f>
        <v>32215966</v>
      </c>
      <c r="I270" s="108"/>
      <c r="J270" s="108"/>
      <c r="K270" s="108"/>
      <c r="L270" s="108"/>
    </row>
    <row r="271" spans="1:12" s="12" customFormat="1" ht="12.75" customHeight="1" x14ac:dyDescent="0.2">
      <c r="A271" s="721" t="s">
        <v>17</v>
      </c>
      <c r="B271" s="721"/>
      <c r="C271" s="721" t="s">
        <v>140</v>
      </c>
      <c r="D271" s="721"/>
      <c r="E271" s="331" t="s">
        <v>26</v>
      </c>
      <c r="F271" s="292">
        <f>'5 kiadások'!G99</f>
        <v>136138309</v>
      </c>
      <c r="G271" s="292"/>
      <c r="H271" s="292">
        <f>F271+G271</f>
        <v>136138309</v>
      </c>
      <c r="I271" s="111"/>
      <c r="J271" s="111"/>
      <c r="K271" s="111"/>
      <c r="L271" s="111"/>
    </row>
    <row r="272" spans="1:12" ht="12.75" customHeight="1" x14ac:dyDescent="0.2">
      <c r="A272" s="721" t="s">
        <v>18</v>
      </c>
      <c r="B272" s="721"/>
      <c r="C272" s="721" t="s">
        <v>141</v>
      </c>
      <c r="D272" s="721"/>
      <c r="E272" s="331" t="s">
        <v>68</v>
      </c>
      <c r="F272" s="292">
        <f>'5 kiadások'!H99</f>
        <v>3919000</v>
      </c>
      <c r="G272" s="292"/>
      <c r="H272" s="292">
        <f>F272+G272</f>
        <v>3919000</v>
      </c>
      <c r="I272" s="108"/>
      <c r="J272" s="108"/>
      <c r="K272" s="108"/>
      <c r="L272" s="108"/>
    </row>
    <row r="273" spans="1:12" s="12" customFormat="1" ht="12.75" customHeight="1" x14ac:dyDescent="0.2">
      <c r="A273" s="721" t="s">
        <v>19</v>
      </c>
      <c r="B273" s="721"/>
      <c r="C273" s="721" t="s">
        <v>142</v>
      </c>
      <c r="D273" s="721"/>
      <c r="E273" s="725" t="s">
        <v>66</v>
      </c>
      <c r="F273" s="292">
        <f>'5 kiadások'!I98+'5 kiadások'!J98+'5 kiadások'!K98-'5 kiadások'!I96-'5 kiadások'!J97</f>
        <v>13846580</v>
      </c>
      <c r="G273" s="292"/>
      <c r="H273" s="292">
        <f>F273+G273</f>
        <v>13846580</v>
      </c>
      <c r="I273" s="111"/>
      <c r="J273" s="111"/>
      <c r="K273" s="111"/>
      <c r="L273" s="111"/>
    </row>
    <row r="274" spans="1:12" ht="15.75" customHeight="1" x14ac:dyDescent="0.2">
      <c r="A274" s="852" t="s">
        <v>79</v>
      </c>
      <c r="B274" s="852"/>
      <c r="C274" s="852"/>
      <c r="D274" s="852"/>
      <c r="E274" s="852"/>
      <c r="F274" s="333">
        <f>SUM(F269:F273)</f>
        <v>354633072</v>
      </c>
      <c r="G274" s="333"/>
      <c r="H274" s="333">
        <f>SUM(H269:H273)</f>
        <v>354633072</v>
      </c>
      <c r="I274" s="108"/>
      <c r="J274" s="108"/>
      <c r="K274" s="108"/>
      <c r="L274" s="108"/>
    </row>
    <row r="275" spans="1:12" ht="17.25" customHeight="1" x14ac:dyDescent="0.2">
      <c r="A275" s="748"/>
      <c r="B275" s="748"/>
      <c r="C275" s="851" t="s">
        <v>143</v>
      </c>
      <c r="D275" s="851"/>
      <c r="E275" s="851"/>
      <c r="F275" s="333"/>
      <c r="G275" s="333"/>
      <c r="H275" s="333"/>
      <c r="I275" s="108"/>
      <c r="J275" s="108"/>
      <c r="K275" s="108"/>
      <c r="L275" s="108"/>
    </row>
    <row r="276" spans="1:12" ht="12" customHeight="1" x14ac:dyDescent="0.2">
      <c r="A276" s="749" t="s">
        <v>15</v>
      </c>
      <c r="B276" s="749"/>
      <c r="C276" s="749" t="s">
        <v>144</v>
      </c>
      <c r="D276" s="749"/>
      <c r="E276" s="750" t="s">
        <v>36</v>
      </c>
      <c r="F276" s="292"/>
      <c r="G276" s="292">
        <f>'6 beruházások'!D10</f>
        <v>287622599.10000002</v>
      </c>
      <c r="H276" s="292">
        <f>G276</f>
        <v>287622599.10000002</v>
      </c>
      <c r="I276" s="108"/>
      <c r="J276" s="108"/>
      <c r="K276" s="108"/>
      <c r="L276" s="108"/>
    </row>
    <row r="277" spans="1:12" ht="12" customHeight="1" x14ac:dyDescent="0.2">
      <c r="A277" s="749" t="s">
        <v>16</v>
      </c>
      <c r="B277" s="749"/>
      <c r="C277" s="749" t="s">
        <v>145</v>
      </c>
      <c r="D277" s="749"/>
      <c r="E277" s="750" t="s">
        <v>37</v>
      </c>
      <c r="F277" s="292"/>
      <c r="G277" s="292">
        <f>'6 beruházások'!D59</f>
        <v>149725598</v>
      </c>
      <c r="H277" s="292">
        <f>G277</f>
        <v>149725598</v>
      </c>
      <c r="I277" s="108"/>
      <c r="J277" s="108"/>
      <c r="K277" s="108"/>
      <c r="L277" s="108"/>
    </row>
    <row r="278" spans="1:12" ht="12" customHeight="1" x14ac:dyDescent="0.2">
      <c r="A278" s="749" t="s">
        <v>17</v>
      </c>
      <c r="B278" s="749"/>
      <c r="C278" s="749" t="s">
        <v>146</v>
      </c>
      <c r="D278" s="749"/>
      <c r="E278" s="750" t="s">
        <v>41</v>
      </c>
      <c r="F278" s="292"/>
      <c r="G278" s="292">
        <f>'5 kiadások'!N66</f>
        <v>5231394</v>
      </c>
      <c r="H278" s="292">
        <f>G278</f>
        <v>5231394</v>
      </c>
      <c r="I278" s="108"/>
      <c r="J278" s="108"/>
      <c r="K278" s="108"/>
      <c r="L278" s="108"/>
    </row>
    <row r="279" spans="1:12" ht="15.75" customHeight="1" x14ac:dyDescent="0.2">
      <c r="A279" s="852" t="s">
        <v>147</v>
      </c>
      <c r="B279" s="852"/>
      <c r="C279" s="852"/>
      <c r="D279" s="852"/>
      <c r="E279" s="852"/>
      <c r="F279" s="333"/>
      <c r="G279" s="333">
        <f>G276+G277+G278</f>
        <v>442579591.10000002</v>
      </c>
      <c r="H279" s="333">
        <f>H276+H277+H278</f>
        <v>442579591.10000002</v>
      </c>
      <c r="I279" s="108"/>
      <c r="J279" s="108"/>
      <c r="K279" s="108"/>
      <c r="L279" s="108"/>
    </row>
    <row r="280" spans="1:12" ht="16.5" customHeight="1" x14ac:dyDescent="0.2">
      <c r="A280" s="852" t="s">
        <v>148</v>
      </c>
      <c r="B280" s="852"/>
      <c r="C280" s="852"/>
      <c r="D280" s="852"/>
      <c r="E280" s="852"/>
      <c r="F280" s="333">
        <f>'5 kiadások'!I96+'5 kiadások'!J97</f>
        <v>163549189</v>
      </c>
      <c r="G280" s="333">
        <v>0</v>
      </c>
      <c r="H280" s="333">
        <f>G280+F280</f>
        <v>163549189</v>
      </c>
      <c r="I280" s="108"/>
      <c r="J280" s="108"/>
      <c r="K280" s="108"/>
      <c r="L280" s="108"/>
    </row>
    <row r="281" spans="1:12" ht="14.25" customHeight="1" x14ac:dyDescent="0.2">
      <c r="A281" s="853" t="s">
        <v>149</v>
      </c>
      <c r="B281" s="853"/>
      <c r="C281" s="853"/>
      <c r="D281" s="853"/>
      <c r="E281" s="853"/>
      <c r="F281" s="747">
        <f>F274+F279+F280</f>
        <v>518182261</v>
      </c>
      <c r="G281" s="747">
        <f>G274+G279+G280</f>
        <v>442579591.10000002</v>
      </c>
      <c r="H281" s="747">
        <f>H274+H279+H280</f>
        <v>960761852.10000002</v>
      </c>
      <c r="I281" s="108"/>
      <c r="J281" s="108"/>
      <c r="K281" s="108"/>
      <c r="L281" s="108"/>
    </row>
    <row r="282" spans="1:12" s="26" customFormat="1" ht="13.5" customHeight="1" x14ac:dyDescent="0.2">
      <c r="A282" s="854" t="s">
        <v>150</v>
      </c>
      <c r="B282" s="854"/>
      <c r="C282" s="854"/>
      <c r="D282" s="854"/>
      <c r="E282" s="854"/>
      <c r="F282" s="751">
        <f>'5 kiadások'!L100+'5 kiadások'!P92</f>
        <v>488769607</v>
      </c>
      <c r="G282" s="751">
        <f>'5 kiadások'!M100+'5 kiadások'!Q92</f>
        <v>582975969.87</v>
      </c>
      <c r="H282" s="751">
        <f>F282+G282</f>
        <v>1071745576.87</v>
      </c>
      <c r="I282" s="110"/>
      <c r="J282" s="110"/>
      <c r="K282" s="110"/>
      <c r="L282" s="110"/>
    </row>
    <row r="283" spans="1:12" s="26" customFormat="1" ht="13.5" customHeight="1" x14ac:dyDescent="0.2">
      <c r="A283" s="850" t="s">
        <v>84</v>
      </c>
      <c r="B283" s="850"/>
      <c r="C283" s="850"/>
      <c r="D283" s="850"/>
      <c r="E283" s="850"/>
      <c r="F283" s="751">
        <f>'5 kiadások'!L102</f>
        <v>29412654</v>
      </c>
      <c r="G283" s="751">
        <f>'5 kiadások'!O102+'5 kiadások'!P102+'5 kiadások'!M102+'5 kiadások'!N102</f>
        <v>1330912</v>
      </c>
      <c r="H283" s="751">
        <f>F283+G283+1</f>
        <v>30743567</v>
      </c>
      <c r="I283" s="110"/>
      <c r="J283" s="110"/>
      <c r="K283" s="110"/>
      <c r="L283" s="110"/>
    </row>
    <row r="284" spans="1:12" s="26" customFormat="1" ht="15" customHeight="1" x14ac:dyDescent="0.2">
      <c r="A284" s="850" t="s">
        <v>151</v>
      </c>
      <c r="B284" s="850"/>
      <c r="C284" s="850"/>
      <c r="D284" s="850"/>
      <c r="E284" s="850"/>
      <c r="F284" s="751">
        <f>'5 kiadások'!L101</f>
        <v>0</v>
      </c>
      <c r="G284" s="751">
        <v>0</v>
      </c>
      <c r="H284" s="751">
        <f>F284+G284</f>
        <v>0</v>
      </c>
      <c r="I284" s="110"/>
      <c r="J284" s="110"/>
      <c r="K284" s="110"/>
      <c r="L284" s="110"/>
    </row>
    <row r="285" spans="1:12" ht="12" customHeight="1" x14ac:dyDescent="0.2">
      <c r="F285" s="38"/>
      <c r="G285" s="38"/>
      <c r="H285" s="38"/>
    </row>
    <row r="286" spans="1:12" s="35" customFormat="1" ht="14.25" customHeight="1" x14ac:dyDescent="0.2">
      <c r="A286" s="336"/>
      <c r="B286" s="336"/>
      <c r="C286" s="336"/>
      <c r="D286" s="336"/>
      <c r="E286" s="337"/>
      <c r="F286" s="338"/>
      <c r="G286" s="338"/>
      <c r="H286" s="338"/>
      <c r="I286" s="10"/>
    </row>
    <row r="287" spans="1:12" ht="12" customHeight="1" x14ac:dyDescent="0.2">
      <c r="F287" s="38"/>
      <c r="G287" s="38"/>
      <c r="H287" s="38"/>
    </row>
    <row r="288" spans="1:12" ht="12" customHeight="1" x14ac:dyDescent="0.2">
      <c r="F288" s="38"/>
      <c r="G288" s="38"/>
      <c r="H288" s="38"/>
      <c r="I288" s="38"/>
    </row>
    <row r="289" spans="5:8" ht="12" customHeight="1" x14ac:dyDescent="0.2">
      <c r="F289" s="38"/>
      <c r="G289" s="38"/>
      <c r="H289" s="38"/>
    </row>
    <row r="290" spans="5:8" ht="12" customHeight="1" x14ac:dyDescent="0.2">
      <c r="F290" s="38"/>
      <c r="G290" s="38"/>
      <c r="H290" s="38"/>
    </row>
    <row r="291" spans="5:8" ht="12" customHeight="1" x14ac:dyDescent="0.2">
      <c r="F291" s="38"/>
      <c r="G291" s="38"/>
      <c r="H291" s="38"/>
    </row>
    <row r="292" spans="5:8" ht="12" customHeight="1" x14ac:dyDescent="0.2">
      <c r="F292" s="38"/>
      <c r="G292" s="38"/>
      <c r="H292" s="38"/>
    </row>
    <row r="293" spans="5:8" ht="12" customHeight="1" x14ac:dyDescent="0.2">
      <c r="F293" s="38"/>
      <c r="G293" s="38"/>
      <c r="H293" s="38"/>
    </row>
    <row r="294" spans="5:8" ht="12" customHeight="1" x14ac:dyDescent="0.2">
      <c r="E294" s="38"/>
      <c r="F294" s="38"/>
      <c r="G294" s="38"/>
      <c r="H294" s="38"/>
    </row>
    <row r="295" spans="5:8" ht="12" customHeight="1" x14ac:dyDescent="0.2">
      <c r="E295" s="38"/>
      <c r="F295" s="38"/>
      <c r="G295" s="38"/>
      <c r="H295" s="38"/>
    </row>
    <row r="296" spans="5:8" ht="12" customHeight="1" x14ac:dyDescent="0.2">
      <c r="E296" s="38"/>
      <c r="F296" s="38"/>
      <c r="G296" s="38"/>
      <c r="H296" s="38"/>
    </row>
    <row r="297" spans="5:8" ht="12" customHeight="1" x14ac:dyDescent="0.2">
      <c r="F297" s="38"/>
      <c r="G297" s="38"/>
      <c r="H297" s="38"/>
    </row>
    <row r="298" spans="5:8" ht="12" customHeight="1" x14ac:dyDescent="0.2">
      <c r="F298" s="38"/>
      <c r="G298" s="38"/>
      <c r="H298" s="38"/>
    </row>
  </sheetData>
  <mergeCells count="86">
    <mergeCell ref="A135:E135"/>
    <mergeCell ref="A193:E193"/>
    <mergeCell ref="E237:E238"/>
    <mergeCell ref="C227:C228"/>
    <mergeCell ref="E227:E228"/>
    <mergeCell ref="C229:C230"/>
    <mergeCell ref="E229:E230"/>
    <mergeCell ref="C237:C238"/>
    <mergeCell ref="C233:C234"/>
    <mergeCell ref="A205:E205"/>
    <mergeCell ref="B207:E207"/>
    <mergeCell ref="A154:E154"/>
    <mergeCell ref="B235:B236"/>
    <mergeCell ref="B233:B234"/>
    <mergeCell ref="A225:E225"/>
    <mergeCell ref="A222:E222"/>
    <mergeCell ref="H4:H5"/>
    <mergeCell ref="C4:C5"/>
    <mergeCell ref="E4:E5"/>
    <mergeCell ref="A6:H6"/>
    <mergeCell ref="D7:H7"/>
    <mergeCell ref="D4:D5"/>
    <mergeCell ref="F4:F5"/>
    <mergeCell ref="A21:E21"/>
    <mergeCell ref="B239:B240"/>
    <mergeCell ref="A120:E120"/>
    <mergeCell ref="A192:E192"/>
    <mergeCell ref="E241:E242"/>
    <mergeCell ref="A156:E156"/>
    <mergeCell ref="A195:E195"/>
    <mergeCell ref="A194:E194"/>
    <mergeCell ref="E231:E232"/>
    <mergeCell ref="E239:E240"/>
    <mergeCell ref="A213:E213"/>
    <mergeCell ref="B237:B238"/>
    <mergeCell ref="B231:B232"/>
    <mergeCell ref="B229:B230"/>
    <mergeCell ref="E233:E234"/>
    <mergeCell ref="B241:B242"/>
    <mergeCell ref="A274:E274"/>
    <mergeCell ref="A267:H267"/>
    <mergeCell ref="A252:E252"/>
    <mergeCell ref="C253:C255"/>
    <mergeCell ref="A260:E260"/>
    <mergeCell ref="E253:E255"/>
    <mergeCell ref="A259:E259"/>
    <mergeCell ref="A264:E264"/>
    <mergeCell ref="A261:E261"/>
    <mergeCell ref="A266:E266"/>
    <mergeCell ref="A263:E263"/>
    <mergeCell ref="A265:E265"/>
    <mergeCell ref="A284:E284"/>
    <mergeCell ref="C275:E275"/>
    <mergeCell ref="A279:E279"/>
    <mergeCell ref="A280:E280"/>
    <mergeCell ref="A281:E281"/>
    <mergeCell ref="A282:E282"/>
    <mergeCell ref="A283:E283"/>
    <mergeCell ref="A219:E219"/>
    <mergeCell ref="A251:E251"/>
    <mergeCell ref="A250:E250"/>
    <mergeCell ref="E248:E249"/>
    <mergeCell ref="E245:E246"/>
    <mergeCell ref="A247:E247"/>
    <mergeCell ref="C248:C249"/>
    <mergeCell ref="B245:B246"/>
    <mergeCell ref="C245:C246"/>
    <mergeCell ref="C243:C244"/>
    <mergeCell ref="B243:B244"/>
    <mergeCell ref="E243:E244"/>
    <mergeCell ref="A216:E216"/>
    <mergeCell ref="C241:C242"/>
    <mergeCell ref="C239:C240"/>
    <mergeCell ref="A8:E8"/>
    <mergeCell ref="E1:H1"/>
    <mergeCell ref="E235:E236"/>
    <mergeCell ref="C235:C236"/>
    <mergeCell ref="C231:C232"/>
    <mergeCell ref="A214:E214"/>
    <mergeCell ref="A215:E215"/>
    <mergeCell ref="G4:G5"/>
    <mergeCell ref="A204:E204"/>
    <mergeCell ref="B227:B228"/>
    <mergeCell ref="C223:C224"/>
    <mergeCell ref="E223:E224"/>
    <mergeCell ref="A217:E217"/>
  </mergeCells>
  <phoneticPr fontId="41" type="noConversion"/>
  <printOptions horizontalCentered="1" verticalCentered="1"/>
  <pageMargins left="0.78740157480314965" right="0.78740157480314965" top="0.39370078740157483" bottom="0.39370078740157483" header="0.51181102362204722" footer="0.11811023622047245"/>
  <pageSetup paperSize="9" scale="87" fitToHeight="0" orientation="landscape" r:id="rId1"/>
  <headerFooter alignWithMargins="0"/>
  <rowBreaks count="1" manualBreakCount="1">
    <brk id="221" max="7" man="1"/>
  </rowBreaks>
  <ignoredErrors>
    <ignoredError sqref="H25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topLeftCell="A10" zoomScaleSheetLayoutView="100" workbookViewId="0">
      <selection activeCell="A10" sqref="A1:N1048576"/>
    </sheetView>
  </sheetViews>
  <sheetFormatPr defaultRowHeight="12.75" x14ac:dyDescent="0.2"/>
  <cols>
    <col min="1" max="1" width="5" style="799" customWidth="1"/>
    <col min="2" max="2" width="8.7109375" style="799" customWidth="1"/>
    <col min="3" max="5" width="17.5703125" style="799" customWidth="1"/>
    <col min="6" max="7" width="12.140625" style="802" customWidth="1"/>
    <col min="8" max="8" width="11.7109375" style="802" customWidth="1"/>
    <col min="9" max="9" width="11.85546875" style="799" customWidth="1"/>
    <col min="10" max="10" width="10.42578125" style="799" customWidth="1"/>
    <col min="11" max="11" width="12.85546875" style="799" customWidth="1"/>
    <col min="12" max="12" width="8.85546875" style="799" customWidth="1"/>
    <col min="13" max="13" width="8.28515625" style="799" customWidth="1"/>
    <col min="14" max="14" width="11.28515625" style="19" customWidth="1"/>
    <col min="16" max="16" width="10.7109375" bestFit="1" customWidth="1"/>
  </cols>
  <sheetData>
    <row r="1" spans="1:17" ht="15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880"/>
      <c r="L1" s="880"/>
      <c r="M1" s="880"/>
      <c r="N1" s="880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8"/>
    </row>
    <row r="3" spans="1:17" ht="20.25" customHeight="1" thickBo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883"/>
      <c r="N3" s="883"/>
      <c r="P3" s="204"/>
    </row>
    <row r="4" spans="1:17" ht="21" customHeight="1" x14ac:dyDescent="0.2">
      <c r="A4" s="884" t="s">
        <v>42</v>
      </c>
      <c r="B4" s="899" t="s">
        <v>205</v>
      </c>
      <c r="C4" s="887" t="s">
        <v>212</v>
      </c>
      <c r="D4" s="752"/>
      <c r="E4" s="901" t="s">
        <v>213</v>
      </c>
      <c r="F4" s="902"/>
      <c r="G4" s="902"/>
      <c r="H4" s="902"/>
      <c r="I4" s="903"/>
      <c r="J4" s="890" t="s">
        <v>214</v>
      </c>
      <c r="K4" s="891"/>
      <c r="L4" s="891"/>
      <c r="M4" s="892"/>
      <c r="N4" s="878" t="s">
        <v>30</v>
      </c>
    </row>
    <row r="5" spans="1:17" s="23" customFormat="1" ht="24" customHeight="1" x14ac:dyDescent="0.2">
      <c r="A5" s="885"/>
      <c r="B5" s="900"/>
      <c r="C5" s="888"/>
      <c r="D5" s="881" t="s">
        <v>176</v>
      </c>
      <c r="E5" s="881" t="s">
        <v>180</v>
      </c>
      <c r="F5" s="881" t="s">
        <v>178</v>
      </c>
      <c r="G5" s="898" t="s">
        <v>240</v>
      </c>
      <c r="H5" s="881" t="s">
        <v>179</v>
      </c>
      <c r="I5" s="881" t="s">
        <v>177</v>
      </c>
      <c r="J5" s="893"/>
      <c r="K5" s="894"/>
      <c r="L5" s="894"/>
      <c r="M5" s="895"/>
      <c r="N5" s="879"/>
    </row>
    <row r="6" spans="1:17" s="23" customFormat="1" ht="38.25" customHeight="1" x14ac:dyDescent="0.2">
      <c r="A6" s="885"/>
      <c r="B6" s="900"/>
      <c r="C6" s="888"/>
      <c r="D6" s="881"/>
      <c r="E6" s="881"/>
      <c r="F6" s="881"/>
      <c r="G6" s="898"/>
      <c r="H6" s="881"/>
      <c r="I6" s="881"/>
      <c r="J6" s="896" t="s">
        <v>197</v>
      </c>
      <c r="K6" s="897"/>
      <c r="L6" s="881" t="s">
        <v>237</v>
      </c>
      <c r="M6" s="882"/>
      <c r="N6" s="879"/>
    </row>
    <row r="7" spans="1:17" s="23" customFormat="1" ht="12.75" customHeight="1" x14ac:dyDescent="0.2">
      <c r="A7" s="885"/>
      <c r="B7" s="900"/>
      <c r="C7" s="888"/>
      <c r="D7" s="881"/>
      <c r="E7" s="881"/>
      <c r="F7" s="881"/>
      <c r="G7" s="898"/>
      <c r="H7" s="881"/>
      <c r="I7" s="881"/>
      <c r="J7" s="881" t="s">
        <v>69</v>
      </c>
      <c r="K7" s="881" t="s">
        <v>28</v>
      </c>
      <c r="L7" s="881" t="s">
        <v>28</v>
      </c>
      <c r="M7" s="881" t="s">
        <v>69</v>
      </c>
      <c r="N7" s="879"/>
    </row>
    <row r="8" spans="1:17" s="23" customFormat="1" ht="15" customHeight="1" x14ac:dyDescent="0.2">
      <c r="A8" s="886"/>
      <c r="B8" s="900"/>
      <c r="C8" s="889"/>
      <c r="D8" s="881"/>
      <c r="E8" s="881"/>
      <c r="F8" s="881"/>
      <c r="G8" s="898"/>
      <c r="H8" s="881"/>
      <c r="I8" s="881"/>
      <c r="J8" s="882"/>
      <c r="K8" s="882"/>
      <c r="L8" s="882"/>
      <c r="M8" s="882"/>
      <c r="N8" s="879"/>
    </row>
    <row r="9" spans="1:17" s="23" customFormat="1" ht="39" customHeight="1" x14ac:dyDescent="0.2">
      <c r="A9" s="753">
        <v>1</v>
      </c>
      <c r="B9" s="754"/>
      <c r="C9" s="755" t="s">
        <v>257</v>
      </c>
      <c r="D9" s="756">
        <f>D10+D11</f>
        <v>746480</v>
      </c>
      <c r="E9" s="757"/>
      <c r="F9" s="756">
        <f>F10+F11</f>
        <v>1458837</v>
      </c>
      <c r="G9" s="758">
        <f>'3 bevételek'!G126</f>
        <v>0</v>
      </c>
      <c r="H9" s="757"/>
      <c r="I9" s="757"/>
      <c r="J9" s="759">
        <v>0</v>
      </c>
      <c r="K9" s="760">
        <f>K10+K11</f>
        <v>50800559</v>
      </c>
      <c r="L9" s="760">
        <f>L10+L11</f>
        <v>187373</v>
      </c>
      <c r="M9" s="759"/>
      <c r="N9" s="761">
        <f>SUM(F9:M9)</f>
        <v>52446769</v>
      </c>
      <c r="P9" s="223"/>
    </row>
    <row r="10" spans="1:17" s="23" customFormat="1" ht="39" customHeight="1" x14ac:dyDescent="0.2">
      <c r="A10" s="762"/>
      <c r="B10" s="763" t="s">
        <v>72</v>
      </c>
      <c r="C10" s="764" t="s">
        <v>92</v>
      </c>
      <c r="D10" s="756">
        <f>'3 bevételek'!F13</f>
        <v>746480</v>
      </c>
      <c r="E10" s="757"/>
      <c r="F10" s="765">
        <f>'3 bevételek'!F40+'3 bevételek'!F88+'3 bevételek'!F52+'3 bevételek'!F100+'3 bevételek'!F112</f>
        <v>1458837</v>
      </c>
      <c r="G10" s="758">
        <f>'3 bevételek'!G127</f>
        <v>0</v>
      </c>
      <c r="H10" s="757"/>
      <c r="I10" s="757"/>
      <c r="J10" s="759">
        <v>823900</v>
      </c>
      <c r="K10" s="766">
        <f>'5 kiadások'!Q9-'4 int-i bevételek '!F10-'4 int-i bevételek '!D10-'4 int-i bevételek '!L10-J10</f>
        <v>50800559</v>
      </c>
      <c r="L10" s="760">
        <f>'3 bevételek'!F142</f>
        <v>187373</v>
      </c>
      <c r="M10" s="759"/>
      <c r="N10" s="761">
        <f>SUM(F10:M10)</f>
        <v>53270669</v>
      </c>
      <c r="P10" s="223"/>
    </row>
    <row r="11" spans="1:17" s="23" customFormat="1" ht="39" customHeight="1" x14ac:dyDescent="0.2">
      <c r="A11" s="762"/>
      <c r="B11" s="763" t="s">
        <v>73</v>
      </c>
      <c r="C11" s="764" t="s">
        <v>91</v>
      </c>
      <c r="D11" s="757"/>
      <c r="E11" s="757"/>
      <c r="F11" s="767">
        <v>0</v>
      </c>
      <c r="G11" s="758"/>
      <c r="H11" s="757"/>
      <c r="I11" s="757"/>
      <c r="J11" s="759"/>
      <c r="K11" s="760"/>
      <c r="L11" s="759"/>
      <c r="M11" s="759"/>
      <c r="N11" s="761"/>
    </row>
    <row r="12" spans="1:17" ht="40.5" customHeight="1" x14ac:dyDescent="0.2">
      <c r="A12" s="768">
        <v>2</v>
      </c>
      <c r="B12" s="769"/>
      <c r="C12" s="770" t="s">
        <v>231</v>
      </c>
      <c r="D12" s="771">
        <f>D13+D14</f>
        <v>0</v>
      </c>
      <c r="E12" s="771">
        <f>E13+E14</f>
        <v>0</v>
      </c>
      <c r="F12" s="772">
        <f>F13+F14</f>
        <v>12718458</v>
      </c>
      <c r="G12" s="771">
        <f t="shared" ref="G12:L12" si="0">G13+G14</f>
        <v>0</v>
      </c>
      <c r="H12" s="771">
        <f t="shared" si="0"/>
        <v>0</v>
      </c>
      <c r="I12" s="771">
        <f t="shared" si="0"/>
        <v>0</v>
      </c>
      <c r="J12" s="771">
        <f>J13+J14</f>
        <v>1665959</v>
      </c>
      <c r="K12" s="771">
        <f>K13+K14</f>
        <v>55764446</v>
      </c>
      <c r="L12" s="771">
        <f t="shared" si="0"/>
        <v>738</v>
      </c>
      <c r="M12" s="771">
        <f>M13+M14</f>
        <v>0</v>
      </c>
      <c r="N12" s="773">
        <f>SUM(F12:M12)</f>
        <v>70149601</v>
      </c>
      <c r="O12" s="876"/>
      <c r="P12" s="877"/>
    </row>
    <row r="13" spans="1:17" s="29" customFormat="1" ht="26.25" customHeight="1" x14ac:dyDescent="0.2">
      <c r="A13" s="774"/>
      <c r="B13" s="775" t="s">
        <v>72</v>
      </c>
      <c r="C13" s="776" t="s">
        <v>92</v>
      </c>
      <c r="D13" s="777"/>
      <c r="E13" s="777"/>
      <c r="F13" s="778">
        <f>'3 bevételek'!F31+'3 bevételek'!F43+'3 bevételek'!F67+'3 bevételek'!F79+'3 bevételek'!F91+'3 bevételek'!F103+'3 bevételek'!F115</f>
        <v>9278722</v>
      </c>
      <c r="G13" s="777"/>
      <c r="H13" s="777">
        <v>0</v>
      </c>
      <c r="I13" s="777"/>
      <c r="J13" s="777">
        <f>'5 kiadások'!M19-'4 int-i bevételek '!G13-'4 int-i bevételek '!I13</f>
        <v>380047</v>
      </c>
      <c r="K13" s="777">
        <f>'5 kiadások'!L19-'4 int-i bevételek '!F13-L13</f>
        <v>39539011</v>
      </c>
      <c r="L13" s="777">
        <f>'3 bevételek'!F145</f>
        <v>738</v>
      </c>
      <c r="M13" s="777">
        <v>0</v>
      </c>
      <c r="N13" s="773">
        <f>SUM(F13:M13)</f>
        <v>49198518</v>
      </c>
      <c r="P13" s="209"/>
    </row>
    <row r="14" spans="1:17" s="29" customFormat="1" ht="24" customHeight="1" x14ac:dyDescent="0.2">
      <c r="A14" s="763"/>
      <c r="B14" s="763" t="s">
        <v>73</v>
      </c>
      <c r="C14" s="764" t="s">
        <v>91</v>
      </c>
      <c r="D14" s="779"/>
      <c r="E14" s="779"/>
      <c r="F14" s="780">
        <f>'3 bevételek'!F32+'3 bevételek'!F44+'3 bevételek'!F68+'3 bevételek'!F80+'3 bevételek'!F92+'3 bevételek'!F104+'3 bevételek'!F116</f>
        <v>3439736</v>
      </c>
      <c r="G14" s="779"/>
      <c r="H14" s="779"/>
      <c r="I14" s="779"/>
      <c r="J14" s="779">
        <f>'5 kiadások'!M20-'4 int-i bevételek '!G14-'4 int-i bevételek '!I14</f>
        <v>1285912</v>
      </c>
      <c r="K14" s="779">
        <f>'5 kiadások'!L20-'4 int-i bevételek '!F14</f>
        <v>16225435</v>
      </c>
      <c r="L14" s="779">
        <v>0</v>
      </c>
      <c r="M14" s="779">
        <v>0</v>
      </c>
      <c r="N14" s="427">
        <f>SUM(F14:M14)</f>
        <v>20951083</v>
      </c>
      <c r="O14" s="210"/>
      <c r="P14" s="209"/>
    </row>
    <row r="15" spans="1:17" ht="27.75" customHeight="1" thickBot="1" x14ac:dyDescent="0.25">
      <c r="A15" s="422">
        <v>3</v>
      </c>
      <c r="B15" s="423" t="s">
        <v>72</v>
      </c>
      <c r="C15" s="424" t="s">
        <v>232</v>
      </c>
      <c r="D15" s="425">
        <v>0</v>
      </c>
      <c r="E15" s="425"/>
      <c r="F15" s="425">
        <f>'3 bevételek'!F105+'3 bevételek'!F117</f>
        <v>5278</v>
      </c>
      <c r="G15" s="425"/>
      <c r="H15" s="425"/>
      <c r="I15" s="425">
        <v>0</v>
      </c>
      <c r="J15" s="425">
        <f>'5 kiadások'!M27</f>
        <v>76100</v>
      </c>
      <c r="K15" s="425">
        <f>'5 kiadások'!Q27-J15-L15-F15</f>
        <v>49771192</v>
      </c>
      <c r="L15" s="425">
        <f>'3 bevételek'!F148</f>
        <v>14456</v>
      </c>
      <c r="M15" s="426">
        <v>0</v>
      </c>
      <c r="N15" s="427">
        <f>SUM(F15:M15)</f>
        <v>49867026</v>
      </c>
      <c r="O15" s="208"/>
      <c r="P15" s="24"/>
    </row>
    <row r="16" spans="1:17" ht="24" customHeight="1" thickTop="1" x14ac:dyDescent="0.2">
      <c r="A16" s="781"/>
      <c r="B16" s="782"/>
      <c r="C16" s="783" t="s">
        <v>271</v>
      </c>
      <c r="D16" s="784">
        <f>D12+D15+D9</f>
        <v>746480</v>
      </c>
      <c r="E16" s="784">
        <f>E12+E15+E9</f>
        <v>0</v>
      </c>
      <c r="F16" s="784">
        <f>F12+F15+F9</f>
        <v>14182573</v>
      </c>
      <c r="G16" s="784">
        <f t="shared" ref="G16:I16" si="1">G12+G15+G9</f>
        <v>0</v>
      </c>
      <c r="H16" s="784">
        <f t="shared" si="1"/>
        <v>0</v>
      </c>
      <c r="I16" s="784">
        <f t="shared" si="1"/>
        <v>0</v>
      </c>
      <c r="J16" s="784">
        <f t="shared" ref="J16:M16" si="2">J12+J15</f>
        <v>1742059</v>
      </c>
      <c r="K16" s="784">
        <f>K17+K18</f>
        <v>156336197</v>
      </c>
      <c r="L16" s="784">
        <f>L17+L18</f>
        <v>202567</v>
      </c>
      <c r="M16" s="785">
        <f t="shared" si="2"/>
        <v>0</v>
      </c>
      <c r="N16" s="786">
        <f>N12+N15+N10</f>
        <v>173287296</v>
      </c>
      <c r="O16" s="208"/>
      <c r="P16" s="24"/>
      <c r="Q16" s="208"/>
    </row>
    <row r="17" spans="1:16" ht="25.5" customHeight="1" x14ac:dyDescent="0.2">
      <c r="A17" s="787"/>
      <c r="B17" s="423" t="s">
        <v>72</v>
      </c>
      <c r="C17" s="776" t="s">
        <v>92</v>
      </c>
      <c r="D17" s="788">
        <f>D13+D15+D10</f>
        <v>746480</v>
      </c>
      <c r="E17" s="788">
        <f>E13+E15+E10</f>
        <v>0</v>
      </c>
      <c r="F17" s="788">
        <f>F13+F15+F10</f>
        <v>10742837</v>
      </c>
      <c r="G17" s="788">
        <f t="shared" ref="G17:I17" si="3">G13+G15+G10</f>
        <v>0</v>
      </c>
      <c r="H17" s="788">
        <f t="shared" si="3"/>
        <v>0</v>
      </c>
      <c r="I17" s="788">
        <f t="shared" si="3"/>
        <v>0</v>
      </c>
      <c r="J17" s="788">
        <f t="shared" ref="J17:M17" si="4">J13+J15</f>
        <v>456147</v>
      </c>
      <c r="K17" s="788">
        <f>K13+K15+K10</f>
        <v>140110762</v>
      </c>
      <c r="L17" s="789">
        <f>L13+L15+L10</f>
        <v>202567</v>
      </c>
      <c r="M17" s="790">
        <f t="shared" si="4"/>
        <v>0</v>
      </c>
      <c r="N17" s="791">
        <f>N13+N15+N10</f>
        <v>152336213</v>
      </c>
      <c r="O17" s="215"/>
      <c r="P17" s="215"/>
    </row>
    <row r="18" spans="1:16" ht="26.25" customHeight="1" thickBot="1" x14ac:dyDescent="0.25">
      <c r="A18" s="792"/>
      <c r="B18" s="793" t="s">
        <v>73</v>
      </c>
      <c r="C18" s="794" t="s">
        <v>91</v>
      </c>
      <c r="D18" s="795">
        <f>D14+D11+D15</f>
        <v>0</v>
      </c>
      <c r="E18" s="795">
        <f>E14+E11+E15</f>
        <v>0</v>
      </c>
      <c r="F18" s="795">
        <f>F14+F11</f>
        <v>3439736</v>
      </c>
      <c r="G18" s="795">
        <f t="shared" ref="G18:I18" si="5">G14+G11+G15</f>
        <v>0</v>
      </c>
      <c r="H18" s="795">
        <f t="shared" si="5"/>
        <v>0</v>
      </c>
      <c r="I18" s="795">
        <f t="shared" si="5"/>
        <v>0</v>
      </c>
      <c r="J18" s="795">
        <f t="shared" ref="J18:M18" si="6">J14</f>
        <v>1285912</v>
      </c>
      <c r="K18" s="788">
        <f>K14+K11</f>
        <v>16225435</v>
      </c>
      <c r="L18" s="796">
        <f t="shared" si="6"/>
        <v>0</v>
      </c>
      <c r="M18" s="797">
        <f t="shared" si="6"/>
        <v>0</v>
      </c>
      <c r="N18" s="798">
        <f>N14</f>
        <v>20951083</v>
      </c>
      <c r="O18" s="24"/>
    </row>
    <row r="19" spans="1:16" x14ac:dyDescent="0.2">
      <c r="C19" s="800"/>
      <c r="D19" s="800"/>
      <c r="E19" s="800"/>
      <c r="F19" s="801"/>
      <c r="K19" s="803"/>
    </row>
    <row r="20" spans="1:16" x14ac:dyDescent="0.2">
      <c r="I20" s="803">
        <f>D16+F16+L16</f>
        <v>15131620</v>
      </c>
      <c r="K20" s="803"/>
    </row>
    <row r="21" spans="1:16" x14ac:dyDescent="0.2">
      <c r="F21" s="804"/>
      <c r="H21" s="804"/>
      <c r="I21" s="803"/>
      <c r="J21" s="103"/>
      <c r="K21" s="803"/>
    </row>
    <row r="22" spans="1:16" x14ac:dyDescent="0.2">
      <c r="F22" s="804"/>
      <c r="G22" s="804"/>
      <c r="H22" s="804"/>
      <c r="I22" s="804"/>
      <c r="J22" s="804"/>
      <c r="K22" s="803"/>
    </row>
    <row r="23" spans="1:16" x14ac:dyDescent="0.2">
      <c r="H23" s="804"/>
      <c r="I23" s="803"/>
      <c r="J23" s="803"/>
      <c r="K23" s="803"/>
      <c r="L23" s="803"/>
    </row>
    <row r="24" spans="1:16" x14ac:dyDescent="0.2">
      <c r="F24" s="804"/>
      <c r="H24" s="804"/>
      <c r="I24" s="803"/>
      <c r="J24" s="803"/>
      <c r="K24" s="803"/>
    </row>
    <row r="25" spans="1:16" x14ac:dyDescent="0.2">
      <c r="F25" s="804"/>
      <c r="I25" s="803"/>
      <c r="J25" s="103"/>
      <c r="K25" s="103"/>
    </row>
    <row r="26" spans="1:16" x14ac:dyDescent="0.2">
      <c r="F26" s="804"/>
      <c r="I26" s="803"/>
      <c r="J26" s="103"/>
      <c r="K26" s="103"/>
    </row>
    <row r="27" spans="1:16" x14ac:dyDescent="0.2">
      <c r="F27" s="804"/>
      <c r="I27" s="803"/>
      <c r="J27" s="803"/>
      <c r="K27" s="803"/>
    </row>
    <row r="28" spans="1:16" x14ac:dyDescent="0.2">
      <c r="I28" s="803"/>
      <c r="J28" s="103"/>
      <c r="K28" s="803"/>
      <c r="M28" s="803"/>
    </row>
    <row r="29" spans="1:16" x14ac:dyDescent="0.2">
      <c r="J29" s="804"/>
      <c r="K29" s="803"/>
      <c r="M29" s="803"/>
    </row>
    <row r="30" spans="1:16" x14ac:dyDescent="0.2">
      <c r="J30" s="803"/>
      <c r="K30" s="803"/>
      <c r="M30" s="803"/>
    </row>
    <row r="31" spans="1:16" x14ac:dyDescent="0.2">
      <c r="J31" s="803"/>
      <c r="K31" s="803"/>
      <c r="M31" s="803"/>
    </row>
    <row r="32" spans="1:16" x14ac:dyDescent="0.2">
      <c r="I32" s="803"/>
      <c r="J32" s="103"/>
      <c r="K32" s="103"/>
    </row>
    <row r="33" spans="9:11" x14ac:dyDescent="0.2">
      <c r="I33" s="804"/>
      <c r="J33" s="804"/>
      <c r="K33" s="803"/>
    </row>
    <row r="34" spans="9:11" x14ac:dyDescent="0.2">
      <c r="I34" s="803"/>
      <c r="J34" s="803"/>
      <c r="K34" s="803"/>
    </row>
    <row r="35" spans="9:11" x14ac:dyDescent="0.2">
      <c r="K35" s="803"/>
    </row>
  </sheetData>
  <mergeCells count="21">
    <mergeCell ref="A4:A8"/>
    <mergeCell ref="C4:C8"/>
    <mergeCell ref="J4:M5"/>
    <mergeCell ref="J6:K6"/>
    <mergeCell ref="J7:J8"/>
    <mergeCell ref="I5:I8"/>
    <mergeCell ref="E5:E8"/>
    <mergeCell ref="F5:F8"/>
    <mergeCell ref="D5:D8"/>
    <mergeCell ref="G5:G8"/>
    <mergeCell ref="H5:H8"/>
    <mergeCell ref="B4:B8"/>
    <mergeCell ref="E4:I4"/>
    <mergeCell ref="O12:P12"/>
    <mergeCell ref="N4:N8"/>
    <mergeCell ref="K1:N1"/>
    <mergeCell ref="M7:M8"/>
    <mergeCell ref="L7:L8"/>
    <mergeCell ref="L6:M6"/>
    <mergeCell ref="M3:N3"/>
    <mergeCell ref="K7:K8"/>
  </mergeCells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73"/>
  <sheetViews>
    <sheetView tabSelected="1" topLeftCell="A2" zoomScale="80" zoomScaleNormal="80" zoomScaleSheetLayoutView="124" workbookViewId="0">
      <pane xSplit="1" ySplit="6" topLeftCell="B92" activePane="bottomRight" state="frozen"/>
      <selection activeCell="A5" sqref="A5"/>
      <selection pane="topRight" activeCell="B5" sqref="B5"/>
      <selection pane="bottomLeft" activeCell="A8" sqref="A8"/>
      <selection pane="bottomRight" activeCell="S99" sqref="S99"/>
    </sheetView>
  </sheetViews>
  <sheetFormatPr defaultRowHeight="12.75" customHeight="1" x14ac:dyDescent="0.2"/>
  <cols>
    <col min="1" max="1" width="4" style="102" hidden="1" customWidth="1"/>
    <col min="2" max="2" width="8.7109375" style="20" customWidth="1"/>
    <col min="3" max="3" width="5.28515625" style="101" customWidth="1"/>
    <col min="4" max="4" width="30.7109375" style="358" customWidth="1"/>
    <col min="5" max="5" width="13.28515625" style="358" customWidth="1"/>
    <col min="6" max="6" width="8.85546875" style="358" customWidth="1"/>
    <col min="7" max="7" width="11.5703125" style="358" customWidth="1"/>
    <col min="8" max="8" width="9" style="358" customWidth="1"/>
    <col min="9" max="9" width="9.85546875" style="358" customWidth="1"/>
    <col min="10" max="10" width="9.140625" style="358" customWidth="1"/>
    <col min="11" max="11" width="8" style="358" customWidth="1"/>
    <col min="12" max="12" width="12.28515625" style="397" customWidth="1"/>
    <col min="13" max="13" width="12.42578125" style="358" customWidth="1"/>
    <col min="14" max="14" width="8.7109375" style="358" customWidth="1"/>
    <col min="15" max="15" width="9.5703125" style="358" customWidth="1"/>
    <col min="16" max="16" width="6.7109375" style="358" customWidth="1"/>
    <col min="17" max="17" width="11.5703125" style="397" customWidth="1"/>
    <col min="18" max="18" width="6.85546875" style="399" bestFit="1" customWidth="1"/>
    <col min="19" max="19" width="13" style="20" customWidth="1"/>
    <col min="20" max="20" width="10.42578125" style="20" customWidth="1"/>
    <col min="21" max="21" width="12.85546875" style="20" bestFit="1" customWidth="1"/>
    <col min="22" max="22" width="10.42578125" style="20" customWidth="1"/>
    <col min="23" max="23" width="10.42578125" style="20" bestFit="1" customWidth="1"/>
    <col min="24" max="24" width="9.42578125" style="20" bestFit="1" customWidth="1"/>
    <col min="25" max="16384" width="9.140625" style="20"/>
  </cols>
  <sheetData>
    <row r="1" spans="1:18" ht="12.75" hidden="1" customHeight="1" x14ac:dyDescent="0.2">
      <c r="A1" s="116"/>
      <c r="B1" s="288"/>
      <c r="C1" s="339"/>
      <c r="D1" s="340"/>
      <c r="E1" s="340"/>
      <c r="F1" s="340"/>
      <c r="G1" s="340"/>
      <c r="H1" s="340"/>
      <c r="I1" s="340"/>
      <c r="J1" s="340"/>
      <c r="K1" s="340"/>
      <c r="L1" s="341"/>
      <c r="M1" s="342"/>
      <c r="N1" s="904"/>
      <c r="O1" s="904"/>
      <c r="P1" s="904"/>
      <c r="Q1" s="904"/>
      <c r="R1" s="904"/>
    </row>
    <row r="2" spans="1:18" ht="9.75" customHeight="1" x14ac:dyDescent="0.2">
      <c r="A2" s="116"/>
      <c r="B2" s="288"/>
      <c r="C2" s="339"/>
      <c r="D2" s="340"/>
      <c r="E2" s="340"/>
      <c r="F2" s="340"/>
      <c r="G2" s="340"/>
      <c r="H2" s="340"/>
      <c r="I2" s="340"/>
      <c r="J2" s="340"/>
      <c r="K2" s="340"/>
      <c r="L2" s="341"/>
      <c r="M2" s="342"/>
      <c r="N2" s="342"/>
      <c r="O2" s="342"/>
      <c r="P2" s="342"/>
      <c r="Q2" s="341"/>
      <c r="R2" s="343"/>
    </row>
    <row r="3" spans="1:18" ht="18.75" customHeight="1" x14ac:dyDescent="0.2">
      <c r="A3" s="116"/>
      <c r="B3" s="288"/>
      <c r="C3" s="339"/>
      <c r="D3" s="340"/>
      <c r="E3" s="340"/>
      <c r="F3" s="340"/>
      <c r="G3" s="340"/>
      <c r="H3" s="340"/>
      <c r="I3" s="340"/>
      <c r="J3" s="340"/>
      <c r="K3" s="340"/>
      <c r="L3" s="341"/>
      <c r="M3" s="342"/>
      <c r="N3" s="342"/>
      <c r="O3" s="342"/>
      <c r="P3" s="342"/>
      <c r="Q3" s="341"/>
      <c r="R3" s="343"/>
    </row>
    <row r="4" spans="1:18" ht="11.25" customHeight="1" thickBot="1" x14ac:dyDescent="0.25">
      <c r="A4" s="116"/>
      <c r="B4" s="288"/>
      <c r="C4" s="339"/>
      <c r="D4" s="340"/>
      <c r="E4" s="340"/>
      <c r="F4" s="340"/>
      <c r="G4" s="340"/>
      <c r="H4" s="340"/>
      <c r="I4" s="340"/>
      <c r="J4" s="340"/>
      <c r="K4" s="340"/>
      <c r="L4" s="341"/>
      <c r="M4" s="342"/>
      <c r="N4" s="342"/>
      <c r="O4" s="342"/>
      <c r="P4" s="342"/>
      <c r="Q4" s="344"/>
      <c r="R4" s="345"/>
    </row>
    <row r="5" spans="1:18" s="21" customFormat="1" ht="36" customHeight="1" x14ac:dyDescent="0.2">
      <c r="A5" s="927" t="s">
        <v>42</v>
      </c>
      <c r="B5" s="928"/>
      <c r="C5" s="913" t="s">
        <v>206</v>
      </c>
      <c r="D5" s="346" t="s">
        <v>43</v>
      </c>
      <c r="E5" s="346" t="s">
        <v>44</v>
      </c>
      <c r="F5" s="347" t="s">
        <v>80</v>
      </c>
      <c r="G5" s="346" t="s">
        <v>45</v>
      </c>
      <c r="H5" s="347" t="s">
        <v>153</v>
      </c>
      <c r="I5" s="924" t="s">
        <v>66</v>
      </c>
      <c r="J5" s="925"/>
      <c r="K5" s="926"/>
      <c r="L5" s="346" t="s">
        <v>28</v>
      </c>
      <c r="M5" s="346" t="s">
        <v>46</v>
      </c>
      <c r="N5" s="919" t="s">
        <v>41</v>
      </c>
      <c r="O5" s="920"/>
      <c r="P5" s="921"/>
      <c r="Q5" s="346" t="s">
        <v>35</v>
      </c>
      <c r="R5" s="348" t="s">
        <v>47</v>
      </c>
    </row>
    <row r="6" spans="1:18" s="21" customFormat="1" ht="37.5" customHeight="1" x14ac:dyDescent="0.2">
      <c r="A6" s="911" t="s">
        <v>48</v>
      </c>
      <c r="B6" s="912"/>
      <c r="C6" s="914"/>
      <c r="D6" s="349" t="s">
        <v>49</v>
      </c>
      <c r="E6" s="349" t="s">
        <v>67</v>
      </c>
      <c r="F6" s="454" t="s">
        <v>81</v>
      </c>
      <c r="G6" s="349" t="s">
        <v>50</v>
      </c>
      <c r="H6" s="454" t="s">
        <v>154</v>
      </c>
      <c r="I6" s="922" t="s">
        <v>191</v>
      </c>
      <c r="J6" s="931" t="s">
        <v>192</v>
      </c>
      <c r="K6" s="931" t="s">
        <v>193</v>
      </c>
      <c r="L6" s="349" t="s">
        <v>51</v>
      </c>
      <c r="M6" s="349" t="s">
        <v>52</v>
      </c>
      <c r="N6" s="922" t="s">
        <v>191</v>
      </c>
      <c r="O6" s="931" t="s">
        <v>192</v>
      </c>
      <c r="P6" s="931" t="s">
        <v>193</v>
      </c>
      <c r="Q6" s="349" t="s">
        <v>14</v>
      </c>
      <c r="R6" s="350" t="s">
        <v>53</v>
      </c>
    </row>
    <row r="7" spans="1:18" s="21" customFormat="1" ht="36.75" customHeight="1" thickBot="1" x14ac:dyDescent="0.25">
      <c r="A7" s="929" t="s">
        <v>54</v>
      </c>
      <c r="B7" s="930"/>
      <c r="C7" s="915"/>
      <c r="D7" s="351"/>
      <c r="E7" s="351"/>
      <c r="F7" s="453" t="s">
        <v>82</v>
      </c>
      <c r="G7" s="351" t="s">
        <v>59</v>
      </c>
      <c r="H7" s="453" t="s">
        <v>155</v>
      </c>
      <c r="I7" s="923"/>
      <c r="J7" s="932"/>
      <c r="K7" s="923"/>
      <c r="L7" s="351" t="s">
        <v>14</v>
      </c>
      <c r="M7" s="351" t="s">
        <v>55</v>
      </c>
      <c r="N7" s="923"/>
      <c r="O7" s="932"/>
      <c r="P7" s="923"/>
      <c r="Q7" s="351"/>
      <c r="R7" s="352"/>
    </row>
    <row r="8" spans="1:18" s="21" customFormat="1" ht="11.25" thickBot="1" x14ac:dyDescent="0.25">
      <c r="A8" s="412" t="s">
        <v>15</v>
      </c>
      <c r="B8" s="557"/>
      <c r="C8" s="558"/>
      <c r="D8" s="559" t="s">
        <v>257</v>
      </c>
      <c r="E8" s="456">
        <f>E9+E10</f>
        <v>33391092</v>
      </c>
      <c r="F8" s="456">
        <f t="shared" ref="F8:K8" si="0">F9+F10</f>
        <v>7351674</v>
      </c>
      <c r="G8" s="456">
        <f t="shared" si="0"/>
        <v>10631483</v>
      </c>
      <c r="H8" s="456">
        <f t="shared" si="0"/>
        <v>1819000</v>
      </c>
      <c r="I8" s="456">
        <f t="shared" si="0"/>
        <v>0</v>
      </c>
      <c r="J8" s="456">
        <f t="shared" si="0"/>
        <v>0</v>
      </c>
      <c r="K8" s="456">
        <f t="shared" si="0"/>
        <v>0</v>
      </c>
      <c r="L8" s="456">
        <f>SUM(E8:K8)</f>
        <v>53193249</v>
      </c>
      <c r="M8" s="456">
        <f>M9+M10</f>
        <v>823900</v>
      </c>
      <c r="N8" s="560">
        <f>N9+N10</f>
        <v>0</v>
      </c>
      <c r="O8" s="560">
        <f t="shared" ref="O8:P8" si="1">O9+O10</f>
        <v>0</v>
      </c>
      <c r="P8" s="560">
        <f t="shared" si="1"/>
        <v>0</v>
      </c>
      <c r="Q8" s="456">
        <f>Q9+Q10</f>
        <v>54017149</v>
      </c>
      <c r="R8" s="295">
        <f>R9+R10</f>
        <v>9.5</v>
      </c>
    </row>
    <row r="9" spans="1:18" s="21" customFormat="1" ht="10.5" customHeight="1" thickBot="1" x14ac:dyDescent="0.25">
      <c r="A9" s="413"/>
      <c r="B9" s="557"/>
      <c r="C9" s="561"/>
      <c r="D9" s="562" t="s">
        <v>83</v>
      </c>
      <c r="E9" s="563">
        <f>E12+E14+E15</f>
        <v>33391092</v>
      </c>
      <c r="F9" s="563">
        <f t="shared" ref="F9:G9" si="2">F12+F14+F15</f>
        <v>7351674</v>
      </c>
      <c r="G9" s="563">
        <f t="shared" si="2"/>
        <v>10631483</v>
      </c>
      <c r="H9" s="563">
        <f>H16</f>
        <v>1819000</v>
      </c>
      <c r="I9" s="563"/>
      <c r="J9" s="563"/>
      <c r="K9" s="563"/>
      <c r="L9" s="456">
        <f t="shared" ref="L9:L17" si="3">SUM(E9:K9)</f>
        <v>53193249</v>
      </c>
      <c r="M9" s="563">
        <f>M14+M12</f>
        <v>823900</v>
      </c>
      <c r="N9" s="564">
        <f>N12</f>
        <v>0</v>
      </c>
      <c r="O9" s="565">
        <f>O11</f>
        <v>0</v>
      </c>
      <c r="P9" s="564"/>
      <c r="Q9" s="456">
        <f>SUM(L9:P9)</f>
        <v>54017149</v>
      </c>
      <c r="R9" s="296">
        <f>R11+R14</f>
        <v>9.5</v>
      </c>
    </row>
    <row r="10" spans="1:18" s="21" customFormat="1" ht="11.25" customHeight="1" thickBot="1" x14ac:dyDescent="0.25">
      <c r="A10" s="414"/>
      <c r="B10" s="566"/>
      <c r="C10" s="558"/>
      <c r="D10" s="567" t="s">
        <v>84</v>
      </c>
      <c r="E10" s="456"/>
      <c r="F10" s="456"/>
      <c r="G10" s="456">
        <f>G13</f>
        <v>0</v>
      </c>
      <c r="H10" s="456"/>
      <c r="I10" s="456"/>
      <c r="J10" s="456"/>
      <c r="K10" s="456"/>
      <c r="L10" s="456">
        <f t="shared" si="3"/>
        <v>0</v>
      </c>
      <c r="M10" s="456">
        <f>M13</f>
        <v>0</v>
      </c>
      <c r="N10" s="560">
        <f>N13</f>
        <v>0</v>
      </c>
      <c r="O10" s="568"/>
      <c r="P10" s="560"/>
      <c r="Q10" s="456">
        <f t="shared" ref="Q10:Q17" si="4">SUM(L10:P10)</f>
        <v>0</v>
      </c>
      <c r="R10" s="569"/>
    </row>
    <row r="11" spans="1:18" s="21" customFormat="1" ht="11.25" x14ac:dyDescent="0.2">
      <c r="A11" s="415"/>
      <c r="B11" s="570">
        <v>1.1000000000000001</v>
      </c>
      <c r="C11" s="571"/>
      <c r="D11" s="572" t="s">
        <v>63</v>
      </c>
      <c r="E11" s="573">
        <f>E12+E13</f>
        <v>29545053</v>
      </c>
      <c r="F11" s="574">
        <f>F12+F13</f>
        <v>6477218</v>
      </c>
      <c r="G11" s="573">
        <f>G12+G13</f>
        <v>10392042</v>
      </c>
      <c r="H11" s="574"/>
      <c r="I11" s="574"/>
      <c r="J11" s="575"/>
      <c r="K11" s="574"/>
      <c r="L11" s="573">
        <f>SUM(E11:K11)</f>
        <v>46414313</v>
      </c>
      <c r="M11" s="573">
        <f>M12+M13</f>
        <v>823900</v>
      </c>
      <c r="N11" s="574">
        <f>N12+N13+N14</f>
        <v>0</v>
      </c>
      <c r="O11" s="575">
        <f>O12</f>
        <v>0</v>
      </c>
      <c r="P11" s="574"/>
      <c r="Q11" s="573">
        <f>SUM(L11:P11)</f>
        <v>47238213</v>
      </c>
      <c r="R11" s="576">
        <v>8.5</v>
      </c>
    </row>
    <row r="12" spans="1:18" s="21" customFormat="1" ht="11.25" x14ac:dyDescent="0.2">
      <c r="A12" s="416"/>
      <c r="B12" s="577"/>
      <c r="C12" s="578"/>
      <c r="D12" s="297" t="s">
        <v>83</v>
      </c>
      <c r="E12" s="459">
        <v>29545053</v>
      </c>
      <c r="F12" s="461">
        <v>6477218</v>
      </c>
      <c r="G12" s="460">
        <v>10392042</v>
      </c>
      <c r="H12" s="463"/>
      <c r="I12" s="463"/>
      <c r="J12" s="579"/>
      <c r="K12" s="463"/>
      <c r="L12" s="457">
        <f t="shared" si="3"/>
        <v>46414313</v>
      </c>
      <c r="M12" s="462">
        <v>823900</v>
      </c>
      <c r="N12" s="464"/>
      <c r="O12" s="580">
        <v>0</v>
      </c>
      <c r="P12" s="464"/>
      <c r="Q12" s="457">
        <f t="shared" si="4"/>
        <v>47238213</v>
      </c>
      <c r="R12" s="251"/>
    </row>
    <row r="13" spans="1:18" s="21" customFormat="1" ht="11.25" x14ac:dyDescent="0.2">
      <c r="A13" s="416"/>
      <c r="B13" s="577"/>
      <c r="C13" s="581"/>
      <c r="D13" s="469" t="s">
        <v>84</v>
      </c>
      <c r="E13" s="457"/>
      <c r="F13" s="464"/>
      <c r="G13" s="457"/>
      <c r="H13" s="464"/>
      <c r="I13" s="464"/>
      <c r="J13" s="580"/>
      <c r="K13" s="464"/>
      <c r="L13" s="457">
        <f t="shared" si="3"/>
        <v>0</v>
      </c>
      <c r="M13" s="457"/>
      <c r="N13" s="464"/>
      <c r="O13" s="580"/>
      <c r="P13" s="464"/>
      <c r="Q13" s="457">
        <f t="shared" si="4"/>
        <v>0</v>
      </c>
      <c r="R13" s="298"/>
    </row>
    <row r="14" spans="1:18" s="21" customFormat="1" ht="11.25" x14ac:dyDescent="0.2">
      <c r="A14" s="416"/>
      <c r="B14" s="577">
        <v>2</v>
      </c>
      <c r="C14" s="582" t="s">
        <v>72</v>
      </c>
      <c r="D14" s="583" t="s">
        <v>64</v>
      </c>
      <c r="E14" s="467">
        <f>261900*12+149009+12000</f>
        <v>3303809</v>
      </c>
      <c r="F14" s="584">
        <v>760786</v>
      </c>
      <c r="G14" s="458">
        <v>52000</v>
      </c>
      <c r="H14" s="466"/>
      <c r="I14" s="466"/>
      <c r="J14" s="585"/>
      <c r="K14" s="466"/>
      <c r="L14" s="457">
        <f t="shared" si="3"/>
        <v>4116595</v>
      </c>
      <c r="M14" s="457"/>
      <c r="N14" s="464"/>
      <c r="O14" s="580"/>
      <c r="P14" s="464"/>
      <c r="Q14" s="457">
        <f t="shared" si="4"/>
        <v>4116595</v>
      </c>
      <c r="R14" s="472">
        <v>1</v>
      </c>
    </row>
    <row r="15" spans="1:18" s="21" customFormat="1" ht="11.25" x14ac:dyDescent="0.2">
      <c r="A15" s="416"/>
      <c r="B15" s="577"/>
      <c r="C15" s="582" t="s">
        <v>72</v>
      </c>
      <c r="D15" s="586" t="s">
        <v>325</v>
      </c>
      <c r="E15" s="587">
        <v>542230</v>
      </c>
      <c r="F15" s="588">
        <v>113670</v>
      </c>
      <c r="G15" s="457">
        <v>187441</v>
      </c>
      <c r="H15" s="464"/>
      <c r="I15" s="464"/>
      <c r="J15" s="580"/>
      <c r="K15" s="464"/>
      <c r="L15" s="457">
        <f t="shared" si="3"/>
        <v>843341</v>
      </c>
      <c r="M15" s="457"/>
      <c r="N15" s="464"/>
      <c r="O15" s="580"/>
      <c r="P15" s="464"/>
      <c r="Q15" s="457"/>
      <c r="R15" s="298"/>
    </row>
    <row r="16" spans="1:18" s="21" customFormat="1" ht="21" x14ac:dyDescent="0.2">
      <c r="A16" s="416"/>
      <c r="B16" s="577"/>
      <c r="C16" s="581"/>
      <c r="D16" s="589" t="s">
        <v>100</v>
      </c>
      <c r="E16" s="457"/>
      <c r="F16" s="464"/>
      <c r="G16" s="457"/>
      <c r="H16" s="464">
        <f>H17</f>
        <v>1819000</v>
      </c>
      <c r="I16" s="464"/>
      <c r="J16" s="580"/>
      <c r="K16" s="464"/>
      <c r="L16" s="457">
        <f t="shared" si="3"/>
        <v>1819000</v>
      </c>
      <c r="M16" s="457"/>
      <c r="N16" s="464"/>
      <c r="O16" s="580"/>
      <c r="P16" s="464"/>
      <c r="Q16" s="457">
        <f t="shared" si="4"/>
        <v>1819000</v>
      </c>
      <c r="R16" s="590"/>
    </row>
    <row r="17" spans="1:18" s="21" customFormat="1" ht="12" thickBot="1" x14ac:dyDescent="0.25">
      <c r="A17" s="417"/>
      <c r="B17" s="591">
        <v>3</v>
      </c>
      <c r="C17" s="578" t="s">
        <v>72</v>
      </c>
      <c r="D17" s="592" t="s">
        <v>103</v>
      </c>
      <c r="E17" s="457"/>
      <c r="F17" s="464"/>
      <c r="G17" s="457"/>
      <c r="H17" s="468">
        <f>'3 bevételek'!F197</f>
        <v>1819000</v>
      </c>
      <c r="I17" s="464"/>
      <c r="J17" s="580"/>
      <c r="K17" s="464"/>
      <c r="L17" s="465">
        <f t="shared" si="3"/>
        <v>1819000</v>
      </c>
      <c r="M17" s="458"/>
      <c r="N17" s="466"/>
      <c r="O17" s="585"/>
      <c r="P17" s="466"/>
      <c r="Q17" s="465">
        <f t="shared" si="4"/>
        <v>1819000</v>
      </c>
      <c r="R17" s="593"/>
    </row>
    <row r="18" spans="1:18" ht="21.75" thickBot="1" x14ac:dyDescent="0.25">
      <c r="A18" s="227" t="s">
        <v>16</v>
      </c>
      <c r="B18" s="428"/>
      <c r="C18" s="429"/>
      <c r="D18" s="430" t="s">
        <v>231</v>
      </c>
      <c r="E18" s="431">
        <f>E19+E20</f>
        <v>26626564</v>
      </c>
      <c r="F18" s="431">
        <f t="shared" ref="F18:G18" si="5">F19+F20</f>
        <v>5418249</v>
      </c>
      <c r="G18" s="431">
        <f t="shared" si="5"/>
        <v>36438829</v>
      </c>
      <c r="H18" s="431">
        <f t="shared" ref="H18:K18" si="6">H19+H20</f>
        <v>0</v>
      </c>
      <c r="I18" s="431">
        <f t="shared" si="6"/>
        <v>0</v>
      </c>
      <c r="J18" s="431">
        <f t="shared" si="6"/>
        <v>0</v>
      </c>
      <c r="K18" s="431">
        <f t="shared" si="6"/>
        <v>0</v>
      </c>
      <c r="L18" s="432">
        <f t="shared" ref="L18" si="7">SUM(E18:K18)</f>
        <v>68483642</v>
      </c>
      <c r="M18" s="432">
        <f>M19+M20</f>
        <v>1665959</v>
      </c>
      <c r="N18" s="432">
        <f t="shared" ref="N18:P18" si="8">N19+N20</f>
        <v>0</v>
      </c>
      <c r="O18" s="432">
        <f t="shared" si="8"/>
        <v>0</v>
      </c>
      <c r="P18" s="432">
        <f t="shared" si="8"/>
        <v>0</v>
      </c>
      <c r="Q18" s="431">
        <f>SUM(L18:P18)</f>
        <v>70149601</v>
      </c>
      <c r="R18" s="433">
        <f>R19+R20</f>
        <v>10</v>
      </c>
    </row>
    <row r="19" spans="1:18" ht="13.5" thickBot="1" x14ac:dyDescent="0.25">
      <c r="A19" s="228"/>
      <c r="B19" s="428"/>
      <c r="C19" s="434" t="s">
        <v>72</v>
      </c>
      <c r="D19" s="435" t="s">
        <v>83</v>
      </c>
      <c r="E19" s="431">
        <f>E22+E25</f>
        <v>14785346</v>
      </c>
      <c r="F19" s="431">
        <v>2446473</v>
      </c>
      <c r="G19" s="431">
        <f>G22+G25</f>
        <v>31586652</v>
      </c>
      <c r="H19" s="431"/>
      <c r="I19" s="431"/>
      <c r="J19" s="431"/>
      <c r="K19" s="431"/>
      <c r="L19" s="431">
        <f>SUM(E19:K19)</f>
        <v>48818471</v>
      </c>
      <c r="M19" s="432">
        <f>M22+M25</f>
        <v>380047</v>
      </c>
      <c r="N19" s="432"/>
      <c r="O19" s="432"/>
      <c r="P19" s="432"/>
      <c r="Q19" s="431">
        <f>SUM(L19:P19)</f>
        <v>49198518</v>
      </c>
      <c r="R19" s="433">
        <f>R22+R25</f>
        <v>6.75</v>
      </c>
    </row>
    <row r="20" spans="1:18" ht="13.5" thickBot="1" x14ac:dyDescent="0.25">
      <c r="A20" s="227"/>
      <c r="B20" s="436"/>
      <c r="C20" s="437" t="s">
        <v>73</v>
      </c>
      <c r="D20" s="438" t="s">
        <v>84</v>
      </c>
      <c r="E20" s="439">
        <f>E23+E26</f>
        <v>11841218</v>
      </c>
      <c r="F20" s="439">
        <v>2971776</v>
      </c>
      <c r="G20" s="439">
        <f>G26+G23</f>
        <v>4852177</v>
      </c>
      <c r="H20" s="439"/>
      <c r="I20" s="439"/>
      <c r="J20" s="439"/>
      <c r="K20" s="439"/>
      <c r="L20" s="431">
        <f>SUM(E20:K20)</f>
        <v>19665171</v>
      </c>
      <c r="M20" s="432">
        <f>M23+M26</f>
        <v>1285912</v>
      </c>
      <c r="N20" s="432"/>
      <c r="O20" s="432"/>
      <c r="P20" s="432"/>
      <c r="Q20" s="431">
        <f t="shared" ref="Q20" si="9">SUM(L20:P20)</f>
        <v>20951083</v>
      </c>
      <c r="R20" s="433">
        <f>R23+R26</f>
        <v>3.25</v>
      </c>
    </row>
    <row r="21" spans="1:18" ht="13.5" thickBot="1" x14ac:dyDescent="0.25">
      <c r="A21" s="276"/>
      <c r="B21" s="440">
        <v>1</v>
      </c>
      <c r="C21" s="441"/>
      <c r="D21" s="442" t="s">
        <v>319</v>
      </c>
      <c r="E21" s="443">
        <f>E22+E23</f>
        <v>19120014</v>
      </c>
      <c r="F21" s="443">
        <f t="shared" ref="F21:G21" si="10">F22+F23</f>
        <v>3924963</v>
      </c>
      <c r="G21" s="443">
        <f t="shared" si="10"/>
        <v>12048910</v>
      </c>
      <c r="H21" s="443">
        <f t="shared" ref="H21:K21" si="11">H22+H23</f>
        <v>0</v>
      </c>
      <c r="I21" s="443">
        <f t="shared" si="11"/>
        <v>0</v>
      </c>
      <c r="J21" s="443">
        <f t="shared" si="11"/>
        <v>0</v>
      </c>
      <c r="K21" s="443">
        <f t="shared" si="11"/>
        <v>0</v>
      </c>
      <c r="L21" s="443">
        <f>SUM(E21:K21)</f>
        <v>35093887</v>
      </c>
      <c r="M21" s="444">
        <f>M22+M23</f>
        <v>1610492</v>
      </c>
      <c r="N21" s="444"/>
      <c r="O21" s="444"/>
      <c r="P21" s="444"/>
      <c r="Q21" s="443"/>
      <c r="R21" s="445"/>
    </row>
    <row r="22" spans="1:18" ht="13.5" thickBot="1" x14ac:dyDescent="0.25">
      <c r="A22" s="276"/>
      <c r="B22" s="440"/>
      <c r="C22" s="446" t="s">
        <v>72</v>
      </c>
      <c r="D22" s="447" t="s">
        <v>83</v>
      </c>
      <c r="E22" s="314">
        <v>8578796</v>
      </c>
      <c r="F22" s="314">
        <v>1794566</v>
      </c>
      <c r="G22" s="473">
        <v>8048910</v>
      </c>
      <c r="H22" s="314">
        <f t="shared" ref="H22:K22" si="12">H23+H26</f>
        <v>0</v>
      </c>
      <c r="I22" s="314">
        <f t="shared" si="12"/>
        <v>0</v>
      </c>
      <c r="J22" s="314">
        <f t="shared" si="12"/>
        <v>0</v>
      </c>
      <c r="K22" s="314">
        <f t="shared" si="12"/>
        <v>0</v>
      </c>
      <c r="L22" s="448">
        <f t="shared" ref="L22:L26" si="13">SUM(E22:K22)</f>
        <v>18422272</v>
      </c>
      <c r="M22" s="313">
        <v>324580</v>
      </c>
      <c r="N22" s="449"/>
      <c r="O22" s="449"/>
      <c r="P22" s="449"/>
      <c r="Q22" s="448"/>
      <c r="R22" s="450">
        <v>3.25</v>
      </c>
    </row>
    <row r="23" spans="1:18" ht="13.5" thickBot="1" x14ac:dyDescent="0.25">
      <c r="A23" s="276"/>
      <c r="B23" s="440"/>
      <c r="C23" s="446" t="s">
        <v>73</v>
      </c>
      <c r="D23" s="451" t="s">
        <v>84</v>
      </c>
      <c r="E23" s="448">
        <v>10541218</v>
      </c>
      <c r="F23" s="448">
        <v>2130397</v>
      </c>
      <c r="G23" s="448">
        <v>4000000</v>
      </c>
      <c r="H23" s="448"/>
      <c r="I23" s="448"/>
      <c r="J23" s="448"/>
      <c r="K23" s="448"/>
      <c r="L23" s="448">
        <f t="shared" si="13"/>
        <v>16671615</v>
      </c>
      <c r="M23" s="449">
        <v>1285912</v>
      </c>
      <c r="N23" s="449"/>
      <c r="O23" s="449"/>
      <c r="P23" s="449"/>
      <c r="Q23" s="448"/>
      <c r="R23" s="450">
        <v>3</v>
      </c>
    </row>
    <row r="24" spans="1:18" ht="13.5" thickBot="1" x14ac:dyDescent="0.25">
      <c r="A24" s="276"/>
      <c r="B24" s="440">
        <v>2</v>
      </c>
      <c r="C24" s="446"/>
      <c r="D24" s="452" t="s">
        <v>256</v>
      </c>
      <c r="E24" s="448">
        <f>E25+E26</f>
        <v>7506550</v>
      </c>
      <c r="F24" s="448">
        <f t="shared" ref="F24:G24" si="14">F25+F26</f>
        <v>1493286</v>
      </c>
      <c r="G24" s="448">
        <f t="shared" si="14"/>
        <v>24389919</v>
      </c>
      <c r="H24" s="448">
        <f t="shared" ref="H24:K24" si="15">H25+H26</f>
        <v>0</v>
      </c>
      <c r="I24" s="448">
        <f t="shared" si="15"/>
        <v>0</v>
      </c>
      <c r="J24" s="448">
        <f t="shared" si="15"/>
        <v>0</v>
      </c>
      <c r="K24" s="448">
        <f t="shared" si="15"/>
        <v>0</v>
      </c>
      <c r="L24" s="448">
        <f t="shared" si="13"/>
        <v>33389755</v>
      </c>
      <c r="M24" s="449">
        <f>M25+M26</f>
        <v>55467</v>
      </c>
      <c r="N24" s="449"/>
      <c r="O24" s="449"/>
      <c r="P24" s="449"/>
      <c r="Q24" s="448"/>
      <c r="R24" s="450"/>
    </row>
    <row r="25" spans="1:18" ht="13.5" thickBot="1" x14ac:dyDescent="0.25">
      <c r="A25" s="276"/>
      <c r="B25" s="440"/>
      <c r="C25" s="446" t="s">
        <v>72</v>
      </c>
      <c r="D25" s="447" t="s">
        <v>83</v>
      </c>
      <c r="E25" s="448">
        <v>6206550</v>
      </c>
      <c r="F25" s="448">
        <v>1266517</v>
      </c>
      <c r="G25" s="448">
        <v>23537742</v>
      </c>
      <c r="H25" s="448"/>
      <c r="I25" s="448"/>
      <c r="J25" s="448"/>
      <c r="K25" s="448"/>
      <c r="L25" s="448">
        <f t="shared" si="13"/>
        <v>31010809</v>
      </c>
      <c r="M25" s="449">
        <v>55467</v>
      </c>
      <c r="N25" s="449"/>
      <c r="O25" s="449"/>
      <c r="P25" s="449"/>
      <c r="Q25" s="448"/>
      <c r="R25" s="450">
        <v>3.5</v>
      </c>
    </row>
    <row r="26" spans="1:18" ht="13.5" thickBot="1" x14ac:dyDescent="0.25">
      <c r="A26" s="276"/>
      <c r="B26" s="440"/>
      <c r="C26" s="446" t="s">
        <v>73</v>
      </c>
      <c r="D26" s="451" t="s">
        <v>84</v>
      </c>
      <c r="E26" s="448">
        <v>1300000</v>
      </c>
      <c r="F26" s="448">
        <v>226769</v>
      </c>
      <c r="G26" s="448">
        <v>852177</v>
      </c>
      <c r="H26" s="448"/>
      <c r="I26" s="448"/>
      <c r="J26" s="448"/>
      <c r="K26" s="448"/>
      <c r="L26" s="448">
        <f t="shared" si="13"/>
        <v>2378946</v>
      </c>
      <c r="M26" s="449">
        <v>0</v>
      </c>
      <c r="N26" s="449"/>
      <c r="O26" s="449"/>
      <c r="P26" s="449"/>
      <c r="Q26" s="448"/>
      <c r="R26" s="450">
        <v>0.25</v>
      </c>
    </row>
    <row r="27" spans="1:18" ht="11.25" customHeight="1" thickBot="1" x14ac:dyDescent="0.25">
      <c r="A27" s="418" t="s">
        <v>17</v>
      </c>
      <c r="B27" s="300"/>
      <c r="C27" s="275"/>
      <c r="D27" s="301" t="s">
        <v>232</v>
      </c>
      <c r="E27" s="302">
        <f>E28+E29</f>
        <v>38228997</v>
      </c>
      <c r="F27" s="302">
        <f t="shared" ref="F27:K27" si="16">F28+F29</f>
        <v>7338751</v>
      </c>
      <c r="G27" s="302">
        <f>G28+G29</f>
        <v>4223178</v>
      </c>
      <c r="H27" s="302">
        <f t="shared" si="16"/>
        <v>0</v>
      </c>
      <c r="I27" s="302">
        <f t="shared" si="16"/>
        <v>0</v>
      </c>
      <c r="J27" s="302">
        <f t="shared" si="16"/>
        <v>0</v>
      </c>
      <c r="K27" s="302">
        <f t="shared" si="16"/>
        <v>0</v>
      </c>
      <c r="L27" s="302">
        <f>SUM(E27:K27)</f>
        <v>49790926</v>
      </c>
      <c r="M27" s="302">
        <f>M28+M29</f>
        <v>76100</v>
      </c>
      <c r="N27" s="302">
        <f t="shared" ref="N27:P27" si="17">N28+N29</f>
        <v>0</v>
      </c>
      <c r="O27" s="302">
        <f t="shared" si="17"/>
        <v>0</v>
      </c>
      <c r="P27" s="302">
        <f t="shared" si="17"/>
        <v>0</v>
      </c>
      <c r="Q27" s="303">
        <f>SUM(L27:P27)</f>
        <v>49867026</v>
      </c>
      <c r="R27" s="295">
        <f>R28+R29</f>
        <v>14</v>
      </c>
    </row>
    <row r="28" spans="1:18" ht="11.25" customHeight="1" thickBot="1" x14ac:dyDescent="0.25">
      <c r="A28" s="419"/>
      <c r="B28" s="304"/>
      <c r="C28" s="238" t="s">
        <v>72</v>
      </c>
      <c r="D28" s="305" t="s">
        <v>83</v>
      </c>
      <c r="E28" s="306">
        <v>38228997</v>
      </c>
      <c r="F28" s="306">
        <v>7338751</v>
      </c>
      <c r="G28" s="307">
        <v>4223178</v>
      </c>
      <c r="H28" s="307"/>
      <c r="I28" s="306"/>
      <c r="J28" s="306"/>
      <c r="K28" s="306">
        <v>0</v>
      </c>
      <c r="L28" s="308">
        <f t="shared" ref="L28:L29" si="18">SUM(E28:K28)</f>
        <v>49790926</v>
      </c>
      <c r="M28" s="306">
        <f>'6 beruházások'!D45</f>
        <v>76100</v>
      </c>
      <c r="N28" s="306"/>
      <c r="O28" s="306"/>
      <c r="P28" s="306"/>
      <c r="Q28" s="309">
        <f t="shared" ref="Q28:Q29" si="19">SUM(L28:P28)</f>
        <v>49867026</v>
      </c>
      <c r="R28" s="310">
        <v>14</v>
      </c>
    </row>
    <row r="29" spans="1:18" ht="11.25" customHeight="1" thickBot="1" x14ac:dyDescent="0.25">
      <c r="A29" s="420"/>
      <c r="B29" s="311"/>
      <c r="C29" s="239" t="s">
        <v>73</v>
      </c>
      <c r="D29" s="312" t="s">
        <v>84</v>
      </c>
      <c r="E29" s="308">
        <v>0</v>
      </c>
      <c r="F29" s="308">
        <v>0</v>
      </c>
      <c r="G29" s="309">
        <v>0</v>
      </c>
      <c r="H29" s="309"/>
      <c r="I29" s="308"/>
      <c r="J29" s="308"/>
      <c r="K29" s="308"/>
      <c r="L29" s="308">
        <f t="shared" si="18"/>
        <v>0</v>
      </c>
      <c r="M29" s="308"/>
      <c r="N29" s="308"/>
      <c r="O29" s="308"/>
      <c r="P29" s="308"/>
      <c r="Q29" s="309">
        <f t="shared" si="19"/>
        <v>0</v>
      </c>
      <c r="R29" s="296">
        <v>0</v>
      </c>
    </row>
    <row r="30" spans="1:18" ht="12.75" customHeight="1" thickBot="1" x14ac:dyDescent="0.25">
      <c r="A30" s="916" t="s">
        <v>262</v>
      </c>
      <c r="B30" s="917"/>
      <c r="C30" s="917"/>
      <c r="D30" s="918"/>
      <c r="E30" s="476">
        <f>SUM(E31:E33)</f>
        <v>98246653</v>
      </c>
      <c r="F30" s="476">
        <f t="shared" ref="F30:K30" si="20">SUM(F31:F33)</f>
        <v>20108674</v>
      </c>
      <c r="G30" s="476">
        <f t="shared" si="20"/>
        <v>51293490</v>
      </c>
      <c r="H30" s="476">
        <f t="shared" si="20"/>
        <v>1819000</v>
      </c>
      <c r="I30" s="476">
        <f t="shared" si="20"/>
        <v>0</v>
      </c>
      <c r="J30" s="476">
        <f t="shared" si="20"/>
        <v>0</v>
      </c>
      <c r="K30" s="476">
        <f t="shared" si="20"/>
        <v>0</v>
      </c>
      <c r="L30" s="594">
        <f>SUM(E30:K30)</f>
        <v>171467817</v>
      </c>
      <c r="M30" s="476">
        <f>M31+M32+M33</f>
        <v>2565959</v>
      </c>
      <c r="N30" s="476">
        <f>N31+N32</f>
        <v>0</v>
      </c>
      <c r="O30" s="476">
        <f>O18+O27</f>
        <v>0</v>
      </c>
      <c r="P30" s="476">
        <f>P18+P27</f>
        <v>0</v>
      </c>
      <c r="Q30" s="476">
        <f>Q18+Q27+Q8</f>
        <v>174033776</v>
      </c>
      <c r="R30" s="595">
        <f>R31+R33</f>
        <v>33.5</v>
      </c>
    </row>
    <row r="31" spans="1:18" s="25" customFormat="1" ht="12.75" customHeight="1" thickBot="1" x14ac:dyDescent="0.25">
      <c r="A31" s="905" t="s">
        <v>83</v>
      </c>
      <c r="B31" s="906"/>
      <c r="C31" s="906"/>
      <c r="D31" s="907"/>
      <c r="E31" s="477">
        <f t="shared" ref="E31:K31" si="21">E19+E9+E28</f>
        <v>86405435</v>
      </c>
      <c r="F31" s="477">
        <f t="shared" si="21"/>
        <v>17136898</v>
      </c>
      <c r="G31" s="477">
        <f t="shared" si="21"/>
        <v>46441313</v>
      </c>
      <c r="H31" s="477">
        <f t="shared" si="21"/>
        <v>1819000</v>
      </c>
      <c r="I31" s="477">
        <f t="shared" si="21"/>
        <v>0</v>
      </c>
      <c r="J31" s="477">
        <f t="shared" si="21"/>
        <v>0</v>
      </c>
      <c r="K31" s="477">
        <f t="shared" si="21"/>
        <v>0</v>
      </c>
      <c r="L31" s="485">
        <f>SUM(E31:K31)</f>
        <v>151802646</v>
      </c>
      <c r="M31" s="477">
        <f>M9+M19+M28</f>
        <v>1280047</v>
      </c>
      <c r="N31" s="477">
        <f>N12+N19+N28</f>
        <v>0</v>
      </c>
      <c r="O31" s="477">
        <f>O27</f>
        <v>0</v>
      </c>
      <c r="P31" s="477">
        <f>+P27</f>
        <v>0</v>
      </c>
      <c r="Q31" s="477">
        <f>SUM(L31:P31)</f>
        <v>153082693</v>
      </c>
      <c r="R31" s="596">
        <f>R9+R19+R28</f>
        <v>30.25</v>
      </c>
    </row>
    <row r="32" spans="1:18" s="25" customFormat="1" ht="12.75" customHeight="1" thickBot="1" x14ac:dyDescent="0.25">
      <c r="A32" s="905" t="s">
        <v>90</v>
      </c>
      <c r="B32" s="906"/>
      <c r="C32" s="906"/>
      <c r="D32" s="907"/>
      <c r="E32" s="477">
        <v>0</v>
      </c>
      <c r="F32" s="477">
        <v>0</v>
      </c>
      <c r="G32" s="477">
        <v>0</v>
      </c>
      <c r="H32" s="477">
        <v>0</v>
      </c>
      <c r="I32" s="477">
        <v>0</v>
      </c>
      <c r="J32" s="597">
        <v>0</v>
      </c>
      <c r="K32" s="477">
        <v>0</v>
      </c>
      <c r="L32" s="485">
        <v>0</v>
      </c>
      <c r="M32" s="598"/>
      <c r="N32" s="477">
        <f>N13+N20+N29</f>
        <v>0</v>
      </c>
      <c r="O32" s="598">
        <v>0</v>
      </c>
      <c r="P32" s="477">
        <v>0</v>
      </c>
      <c r="Q32" s="477">
        <f t="shared" ref="Q32:Q33" si="22">SUM(L32:P32)</f>
        <v>0</v>
      </c>
      <c r="R32" s="599"/>
    </row>
    <row r="33" spans="1:92" s="25" customFormat="1" ht="12.75" customHeight="1" thickBot="1" x14ac:dyDescent="0.25">
      <c r="A33" s="908" t="s">
        <v>89</v>
      </c>
      <c r="B33" s="909"/>
      <c r="C33" s="909"/>
      <c r="D33" s="910"/>
      <c r="E33" s="600">
        <f t="shared" ref="E33:K33" si="23">E29+E20+E10</f>
        <v>11841218</v>
      </c>
      <c r="F33" s="600">
        <f t="shared" si="23"/>
        <v>2971776</v>
      </c>
      <c r="G33" s="600">
        <f t="shared" si="23"/>
        <v>4852177</v>
      </c>
      <c r="H33" s="600">
        <f t="shared" si="23"/>
        <v>0</v>
      </c>
      <c r="I33" s="600">
        <f t="shared" si="23"/>
        <v>0</v>
      </c>
      <c r="J33" s="601">
        <f t="shared" si="23"/>
        <v>0</v>
      </c>
      <c r="K33" s="600">
        <f t="shared" si="23"/>
        <v>0</v>
      </c>
      <c r="L33" s="602">
        <f>SUM(E33:K33)</f>
        <v>19665171</v>
      </c>
      <c r="M33" s="477">
        <f>M20+M10+M29</f>
        <v>1285912</v>
      </c>
      <c r="N33" s="600"/>
      <c r="O33" s="477"/>
      <c r="P33" s="600"/>
      <c r="Q33" s="477">
        <f t="shared" si="22"/>
        <v>20951083</v>
      </c>
      <c r="R33" s="596">
        <f>R26+R23+R10</f>
        <v>3.25</v>
      </c>
    </row>
    <row r="34" spans="1:92" s="25" customFormat="1" ht="12" customHeight="1" x14ac:dyDescent="0.2">
      <c r="A34" s="421" t="s">
        <v>258</v>
      </c>
      <c r="B34" s="603"/>
      <c r="C34" s="603"/>
      <c r="D34" s="604"/>
      <c r="E34" s="605"/>
      <c r="F34" s="606"/>
      <c r="G34" s="606"/>
      <c r="H34" s="606"/>
      <c r="I34" s="606"/>
      <c r="J34" s="606"/>
      <c r="K34" s="606"/>
      <c r="L34" s="607"/>
      <c r="M34" s="606"/>
      <c r="N34" s="606"/>
      <c r="O34" s="606"/>
      <c r="P34" s="606"/>
      <c r="Q34" s="606"/>
      <c r="R34" s="608"/>
    </row>
    <row r="35" spans="1:92" s="25" customFormat="1" ht="2.25" customHeight="1" thickBot="1" x14ac:dyDescent="0.25">
      <c r="A35" s="229"/>
      <c r="B35" s="353"/>
      <c r="C35" s="353"/>
      <c r="D35" s="354"/>
      <c r="E35" s="355"/>
      <c r="F35" s="355"/>
      <c r="G35" s="355"/>
      <c r="H35" s="355"/>
      <c r="I35" s="355"/>
      <c r="J35" s="355"/>
      <c r="K35" s="355"/>
      <c r="L35" s="356"/>
      <c r="M35" s="355"/>
      <c r="N35" s="355"/>
      <c r="O35" s="355"/>
      <c r="P35" s="355"/>
      <c r="Q35" s="355"/>
      <c r="R35" s="357"/>
    </row>
    <row r="36" spans="1:92" ht="12" customHeight="1" thickBot="1" x14ac:dyDescent="0.25">
      <c r="A36" s="230">
        <v>1</v>
      </c>
      <c r="B36" s="609"/>
      <c r="C36" s="610"/>
      <c r="D36" s="611" t="s">
        <v>264</v>
      </c>
      <c r="E36" s="612">
        <f>E37+E38</f>
        <v>10072156</v>
      </c>
      <c r="F36" s="612">
        <f t="shared" ref="F36:K36" si="24">F37+F38</f>
        <v>2669104</v>
      </c>
      <c r="G36" s="612">
        <f t="shared" si="24"/>
        <v>15542817</v>
      </c>
      <c r="H36" s="612">
        <f t="shared" si="24"/>
        <v>0</v>
      </c>
      <c r="I36" s="612">
        <f t="shared" si="24"/>
        <v>0</v>
      </c>
      <c r="J36" s="612">
        <f t="shared" si="24"/>
        <v>5129411</v>
      </c>
      <c r="K36" s="612">
        <f t="shared" si="24"/>
        <v>7316320</v>
      </c>
      <c r="L36" s="612">
        <f t="shared" ref="L36:L90" si="25">SUM(E36:K36)</f>
        <v>40729808</v>
      </c>
      <c r="M36" s="612">
        <f>M40+M42+M90</f>
        <v>890840</v>
      </c>
      <c r="N36" s="612">
        <f>N66+N42+N90</f>
        <v>5231394</v>
      </c>
      <c r="O36" s="612">
        <f>O40+O42+O90</f>
        <v>0</v>
      </c>
      <c r="P36" s="612">
        <f>P40+P42+P90</f>
        <v>0</v>
      </c>
      <c r="Q36" s="613">
        <f>SUM(L36:P36)</f>
        <v>46852042</v>
      </c>
      <c r="R36" s="614">
        <f>R40+R41</f>
        <v>2</v>
      </c>
    </row>
    <row r="37" spans="1:92" ht="13.5" customHeight="1" x14ac:dyDescent="0.2">
      <c r="A37" s="231"/>
      <c r="B37" s="609"/>
      <c r="C37" s="610"/>
      <c r="D37" s="615" t="s">
        <v>83</v>
      </c>
      <c r="E37" s="616">
        <f>E40+E43+E42+E48</f>
        <v>10072156</v>
      </c>
      <c r="F37" s="616">
        <f t="shared" ref="F37:K37" si="26">F40+F43+F42+F48</f>
        <v>2669104</v>
      </c>
      <c r="G37" s="616">
        <f t="shared" si="26"/>
        <v>15542817</v>
      </c>
      <c r="H37" s="616">
        <f t="shared" si="26"/>
        <v>0</v>
      </c>
      <c r="I37" s="616">
        <f t="shared" si="26"/>
        <v>0</v>
      </c>
      <c r="J37" s="616">
        <f>J40+J43+J42+J48</f>
        <v>5129411</v>
      </c>
      <c r="K37" s="616">
        <f t="shared" si="26"/>
        <v>7316320</v>
      </c>
      <c r="L37" s="617">
        <f t="shared" si="25"/>
        <v>40729808</v>
      </c>
      <c r="M37" s="616"/>
      <c r="N37" s="616"/>
      <c r="O37" s="616"/>
      <c r="P37" s="616"/>
      <c r="Q37" s="618"/>
      <c r="R37" s="619"/>
    </row>
    <row r="38" spans="1:92" ht="13.5" customHeight="1" thickBot="1" x14ac:dyDescent="0.25">
      <c r="A38" s="232"/>
      <c r="B38" s="620"/>
      <c r="C38" s="621"/>
      <c r="D38" s="622" t="s">
        <v>84</v>
      </c>
      <c r="E38" s="623"/>
      <c r="F38" s="624"/>
      <c r="G38" s="624"/>
      <c r="H38" s="624"/>
      <c r="I38" s="624"/>
      <c r="J38" s="624"/>
      <c r="K38" s="624"/>
      <c r="L38" s="623">
        <f t="shared" si="25"/>
        <v>0</v>
      </c>
      <c r="M38" s="624"/>
      <c r="N38" s="624"/>
      <c r="O38" s="624"/>
      <c r="P38" s="624"/>
      <c r="Q38" s="625"/>
      <c r="R38" s="62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</row>
    <row r="39" spans="1:92" s="211" customFormat="1" ht="10.5" customHeight="1" thickBot="1" x14ac:dyDescent="0.2">
      <c r="A39" s="233"/>
      <c r="B39" s="627">
        <v>1</v>
      </c>
      <c r="C39" s="409"/>
      <c r="D39" s="628" t="s">
        <v>288</v>
      </c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30"/>
      <c r="R39" s="631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</row>
    <row r="40" spans="1:92" ht="11.25" customHeight="1" x14ac:dyDescent="0.2">
      <c r="A40" s="234"/>
      <c r="B40" s="632"/>
      <c r="C40" s="633" t="s">
        <v>72</v>
      </c>
      <c r="D40" s="634" t="s">
        <v>83</v>
      </c>
      <c r="E40" s="478">
        <f>11969354-1829629-67569</f>
        <v>10072156</v>
      </c>
      <c r="F40" s="478">
        <f>1914444+759553-4893</f>
        <v>2669104</v>
      </c>
      <c r="G40" s="478">
        <v>15542817</v>
      </c>
      <c r="H40" s="478"/>
      <c r="I40" s="475">
        <v>0</v>
      </c>
      <c r="J40" s="475">
        <v>0</v>
      </c>
      <c r="K40" s="475"/>
      <c r="L40" s="444">
        <f t="shared" si="25"/>
        <v>28284077</v>
      </c>
      <c r="M40" s="313">
        <v>890840</v>
      </c>
      <c r="O40" s="635"/>
      <c r="P40" s="635"/>
      <c r="Q40" s="443">
        <f t="shared" ref="Q40:Q90" si="27">SUM(L40:P40)</f>
        <v>29174917</v>
      </c>
      <c r="R40" s="636">
        <v>2</v>
      </c>
    </row>
    <row r="41" spans="1:92" ht="12.75" customHeight="1" x14ac:dyDescent="0.2">
      <c r="A41" s="233"/>
      <c r="B41" s="254"/>
      <c r="C41" s="637" t="s">
        <v>73</v>
      </c>
      <c r="D41" s="638" t="s">
        <v>84</v>
      </c>
      <c r="E41" s="639">
        <v>0</v>
      </c>
      <c r="F41" s="639">
        <v>0</v>
      </c>
      <c r="G41" s="639"/>
      <c r="H41" s="639"/>
      <c r="I41" s="640"/>
      <c r="J41" s="640"/>
      <c r="K41" s="640"/>
      <c r="L41" s="449">
        <f t="shared" si="25"/>
        <v>0</v>
      </c>
      <c r="M41" s="640"/>
      <c r="N41" s="640"/>
      <c r="O41" s="640"/>
      <c r="P41" s="640"/>
      <c r="Q41" s="448">
        <f t="shared" si="27"/>
        <v>0</v>
      </c>
      <c r="R41" s="641">
        <v>0</v>
      </c>
    </row>
    <row r="42" spans="1:92" ht="12.75" customHeight="1" x14ac:dyDescent="0.2">
      <c r="A42" s="254"/>
      <c r="B42" s="255">
        <v>3</v>
      </c>
      <c r="C42" s="479" t="s">
        <v>72</v>
      </c>
      <c r="D42" s="481" t="s">
        <v>323</v>
      </c>
      <c r="E42" s="313">
        <v>0</v>
      </c>
      <c r="F42" s="313"/>
      <c r="G42" s="314"/>
      <c r="H42" s="314"/>
      <c r="I42" s="313"/>
      <c r="J42" s="313"/>
      <c r="K42" s="313">
        <v>7316320</v>
      </c>
      <c r="L42" s="315">
        <f>SUM(E42:K42)</f>
        <v>7316320</v>
      </c>
      <c r="M42" s="313"/>
      <c r="N42" s="313"/>
      <c r="O42" s="313"/>
      <c r="P42" s="313"/>
      <c r="Q42" s="316">
        <f>SUM(L42:P42)</f>
        <v>7316320</v>
      </c>
      <c r="R42" s="298"/>
    </row>
    <row r="43" spans="1:92" ht="11.25" customHeight="1" x14ac:dyDescent="0.2">
      <c r="A43" s="233"/>
      <c r="B43" s="255">
        <v>4</v>
      </c>
      <c r="C43" s="479" t="s">
        <v>72</v>
      </c>
      <c r="D43" s="481" t="s">
        <v>260</v>
      </c>
      <c r="E43" s="248">
        <f>SUM(E44:E47)</f>
        <v>0</v>
      </c>
      <c r="F43" s="248">
        <f t="shared" ref="F43:I43" si="28">SUM(F44:F47)</f>
        <v>0</v>
      </c>
      <c r="G43" s="248">
        <f t="shared" si="28"/>
        <v>0</v>
      </c>
      <c r="H43" s="248">
        <f t="shared" si="28"/>
        <v>0</v>
      </c>
      <c r="I43" s="248">
        <f t="shared" si="28"/>
        <v>0</v>
      </c>
      <c r="J43" s="248">
        <f>J44+J45+J46+J47</f>
        <v>2129411</v>
      </c>
      <c r="K43" s="248"/>
      <c r="L43" s="315">
        <f t="shared" ref="L43:L61" si="29">SUM(E43:K43)</f>
        <v>2129411</v>
      </c>
      <c r="M43" s="248"/>
      <c r="N43" s="248"/>
      <c r="O43" s="248"/>
      <c r="P43" s="248"/>
      <c r="Q43" s="316">
        <f t="shared" ref="Q43:Q61" si="30">SUM(L43:P43)</f>
        <v>2129411</v>
      </c>
      <c r="R43" s="251"/>
    </row>
    <row r="44" spans="1:92" ht="9" customHeight="1" x14ac:dyDescent="0.2">
      <c r="A44" s="233"/>
      <c r="B44" s="255"/>
      <c r="C44" s="479"/>
      <c r="D44" s="482" t="s">
        <v>283</v>
      </c>
      <c r="E44" s="248"/>
      <c r="F44" s="248"/>
      <c r="G44" s="480"/>
      <c r="H44" s="480"/>
      <c r="I44" s="313">
        <v>0</v>
      </c>
      <c r="J44" s="248">
        <v>353321</v>
      </c>
      <c r="K44" s="248"/>
      <c r="L44" s="315">
        <f t="shared" si="29"/>
        <v>353321</v>
      </c>
      <c r="M44" s="248"/>
      <c r="N44" s="248"/>
      <c r="O44" s="248"/>
      <c r="P44" s="248"/>
      <c r="Q44" s="316">
        <f t="shared" si="30"/>
        <v>353321</v>
      </c>
      <c r="R44" s="251"/>
    </row>
    <row r="45" spans="1:92" ht="9" customHeight="1" x14ac:dyDescent="0.2">
      <c r="A45" s="233"/>
      <c r="B45" s="255"/>
      <c r="C45" s="479"/>
      <c r="D45" s="482" t="s">
        <v>284</v>
      </c>
      <c r="E45" s="248"/>
      <c r="F45" s="248"/>
      <c r="G45" s="480"/>
      <c r="H45" s="480"/>
      <c r="J45" s="248">
        <v>1334037</v>
      </c>
      <c r="K45" s="248"/>
      <c r="L45" s="315">
        <f t="shared" si="29"/>
        <v>1334037</v>
      </c>
      <c r="M45" s="248"/>
      <c r="N45" s="248"/>
      <c r="O45" s="248"/>
      <c r="P45" s="248"/>
      <c r="Q45" s="316">
        <f t="shared" si="30"/>
        <v>1334037</v>
      </c>
      <c r="R45" s="251"/>
    </row>
    <row r="46" spans="1:92" ht="9" customHeight="1" x14ac:dyDescent="0.2">
      <c r="A46" s="233"/>
      <c r="B46" s="255"/>
      <c r="C46" s="479"/>
      <c r="D46" s="482" t="s">
        <v>346</v>
      </c>
      <c r="E46" s="248"/>
      <c r="F46" s="248"/>
      <c r="G46" s="480"/>
      <c r="H46" s="480"/>
      <c r="J46" s="248">
        <v>317500</v>
      </c>
      <c r="K46" s="248"/>
      <c r="L46" s="315"/>
      <c r="M46" s="248"/>
      <c r="N46" s="248"/>
      <c r="O46" s="248"/>
      <c r="P46" s="248"/>
      <c r="Q46" s="316"/>
      <c r="R46" s="251"/>
    </row>
    <row r="47" spans="1:92" ht="9" customHeight="1" x14ac:dyDescent="0.2">
      <c r="A47" s="233"/>
      <c r="B47" s="255"/>
      <c r="C47" s="479"/>
      <c r="D47" s="482" t="s">
        <v>285</v>
      </c>
      <c r="E47" s="248"/>
      <c r="F47" s="248"/>
      <c r="G47" s="480">
        <v>0</v>
      </c>
      <c r="H47" s="480"/>
      <c r="I47" s="248"/>
      <c r="J47" s="248">
        <v>124553</v>
      </c>
      <c r="K47" s="248"/>
      <c r="L47" s="315">
        <f t="shared" si="29"/>
        <v>124553</v>
      </c>
      <c r="M47" s="248"/>
      <c r="N47" s="248"/>
      <c r="O47" s="248"/>
      <c r="P47" s="248"/>
      <c r="Q47" s="316">
        <f t="shared" si="30"/>
        <v>124553</v>
      </c>
      <c r="R47" s="251"/>
    </row>
    <row r="48" spans="1:92" ht="15" customHeight="1" thickBot="1" x14ac:dyDescent="0.25">
      <c r="A48" s="254"/>
      <c r="B48" s="255"/>
      <c r="C48" s="484" t="s">
        <v>72</v>
      </c>
      <c r="D48" s="642" t="s">
        <v>297</v>
      </c>
      <c r="E48" s="248"/>
      <c r="F48" s="248"/>
      <c r="G48" s="480"/>
      <c r="H48" s="480"/>
      <c r="I48" s="248"/>
      <c r="J48" s="248">
        <f>3000000</f>
        <v>3000000</v>
      </c>
      <c r="K48" s="248"/>
      <c r="L48" s="249">
        <f t="shared" ref="L48:L60" si="31">SUM(E48:K48)</f>
        <v>3000000</v>
      </c>
      <c r="M48" s="248"/>
      <c r="N48" s="248"/>
      <c r="O48" s="248"/>
      <c r="P48" s="248"/>
      <c r="Q48" s="250">
        <f t="shared" si="30"/>
        <v>3000000</v>
      </c>
      <c r="R48" s="251"/>
    </row>
    <row r="49" spans="1:19" ht="36.75" customHeight="1" thickBot="1" x14ac:dyDescent="0.25">
      <c r="A49" s="254">
        <v>2</v>
      </c>
      <c r="B49" s="279"/>
      <c r="C49" s="409" t="s">
        <v>72</v>
      </c>
      <c r="D49" s="643" t="s">
        <v>289</v>
      </c>
      <c r="E49" s="280">
        <v>5381000</v>
      </c>
      <c r="F49" s="280">
        <v>1065399</v>
      </c>
      <c r="G49" s="408">
        <v>600000</v>
      </c>
      <c r="H49" s="408"/>
      <c r="I49" s="280"/>
      <c r="J49" s="280"/>
      <c r="K49" s="280"/>
      <c r="L49" s="281">
        <f t="shared" si="31"/>
        <v>7046399</v>
      </c>
      <c r="M49" s="280"/>
      <c r="N49" s="280"/>
      <c r="O49" s="280"/>
      <c r="P49" s="280"/>
      <c r="Q49" s="282">
        <f t="shared" ref="Q49:Q60" si="32">SUM(L49:P49)</f>
        <v>7046399</v>
      </c>
      <c r="R49" s="411">
        <v>2</v>
      </c>
    </row>
    <row r="50" spans="1:19" ht="13.5" thickBot="1" x14ac:dyDescent="0.25">
      <c r="A50" s="254">
        <v>3</v>
      </c>
      <c r="B50" s="279"/>
      <c r="C50" s="409" t="s">
        <v>72</v>
      </c>
      <c r="D50" s="410" t="s">
        <v>269</v>
      </c>
      <c r="E50" s="280"/>
      <c r="F50" s="280"/>
      <c r="G50" s="408">
        <v>563521</v>
      </c>
      <c r="H50" s="408"/>
      <c r="I50" s="280"/>
      <c r="J50" s="280"/>
      <c r="K50" s="280"/>
      <c r="L50" s="281">
        <f t="shared" si="31"/>
        <v>563521</v>
      </c>
      <c r="M50" s="280">
        <f>'6 beruházások'!D23</f>
        <v>700000</v>
      </c>
      <c r="N50" s="280"/>
      <c r="O50" s="280"/>
      <c r="P50" s="280"/>
      <c r="Q50" s="282">
        <f t="shared" si="32"/>
        <v>1263521</v>
      </c>
      <c r="R50" s="411"/>
    </row>
    <row r="51" spans="1:19" s="288" customFormat="1" ht="16.5" customHeight="1" thickBot="1" x14ac:dyDescent="0.25">
      <c r="A51" s="253">
        <v>4</v>
      </c>
      <c r="B51" s="283"/>
      <c r="C51" s="644" t="s">
        <v>72</v>
      </c>
      <c r="D51" s="410" t="s">
        <v>266</v>
      </c>
      <c r="E51" s="280"/>
      <c r="F51" s="280"/>
      <c r="G51" s="408">
        <v>0</v>
      </c>
      <c r="H51" s="408"/>
      <c r="I51" s="280"/>
      <c r="J51" s="280"/>
      <c r="K51" s="280"/>
      <c r="L51" s="281">
        <f t="shared" si="31"/>
        <v>0</v>
      </c>
      <c r="M51" s="280">
        <v>15000000</v>
      </c>
      <c r="N51" s="280"/>
      <c r="O51" s="280"/>
      <c r="P51" s="280"/>
      <c r="Q51" s="282">
        <f t="shared" si="32"/>
        <v>15000000</v>
      </c>
      <c r="R51" s="411"/>
    </row>
    <row r="52" spans="1:19" ht="12" customHeight="1" thickBot="1" x14ac:dyDescent="0.25">
      <c r="A52" s="254">
        <v>5</v>
      </c>
      <c r="B52" s="279"/>
      <c r="C52" s="409" t="s">
        <v>72</v>
      </c>
      <c r="D52" s="410" t="s">
        <v>57</v>
      </c>
      <c r="E52" s="280"/>
      <c r="F52" s="280"/>
      <c r="G52" s="408">
        <f>4000000</f>
        <v>4000000</v>
      </c>
      <c r="H52" s="408"/>
      <c r="I52" s="280"/>
      <c r="J52" s="280"/>
      <c r="K52" s="280"/>
      <c r="L52" s="281">
        <f t="shared" si="31"/>
        <v>4000000</v>
      </c>
      <c r="M52" s="280"/>
      <c r="N52" s="280"/>
      <c r="O52" s="280"/>
      <c r="P52" s="280"/>
      <c r="Q52" s="282">
        <f t="shared" si="32"/>
        <v>4000000</v>
      </c>
      <c r="R52" s="411"/>
    </row>
    <row r="53" spans="1:19" ht="12" customHeight="1" thickBot="1" x14ac:dyDescent="0.2">
      <c r="A53" s="254">
        <v>6</v>
      </c>
      <c r="B53" s="279"/>
      <c r="C53" s="409" t="s">
        <v>72</v>
      </c>
      <c r="D53" s="645" t="s">
        <v>56</v>
      </c>
      <c r="E53" s="280">
        <v>517500</v>
      </c>
      <c r="F53" s="280">
        <f>80732+20183</f>
        <v>100915</v>
      </c>
      <c r="G53" s="408">
        <v>9000000</v>
      </c>
      <c r="H53" s="408"/>
      <c r="I53" s="280"/>
      <c r="J53" s="280"/>
      <c r="K53" s="280"/>
      <c r="L53" s="281">
        <f t="shared" si="31"/>
        <v>9618415</v>
      </c>
      <c r="M53" s="280">
        <f>'6 beruházások'!D31</f>
        <v>220199</v>
      </c>
      <c r="N53" s="280"/>
      <c r="O53" s="280"/>
      <c r="P53" s="280"/>
      <c r="Q53" s="282">
        <f t="shared" si="32"/>
        <v>9838614</v>
      </c>
      <c r="R53" s="411"/>
    </row>
    <row r="54" spans="1:19" ht="14.25" customHeight="1" thickBot="1" x14ac:dyDescent="0.25">
      <c r="A54" s="254">
        <v>7</v>
      </c>
      <c r="B54" s="279"/>
      <c r="C54" s="409" t="s">
        <v>72</v>
      </c>
      <c r="D54" s="646" t="s">
        <v>267</v>
      </c>
      <c r="E54" s="280"/>
      <c r="F54" s="280"/>
      <c r="G54" s="408">
        <v>5000000</v>
      </c>
      <c r="H54" s="408"/>
      <c r="I54" s="280"/>
      <c r="J54" s="280"/>
      <c r="K54" s="280"/>
      <c r="L54" s="281">
        <f t="shared" si="31"/>
        <v>5000000</v>
      </c>
      <c r="M54" s="280">
        <f>'6 beruházások'!D18</f>
        <v>7461921</v>
      </c>
      <c r="N54" s="280"/>
      <c r="O54" s="280"/>
      <c r="P54" s="280"/>
      <c r="Q54" s="282">
        <f t="shared" si="32"/>
        <v>12461921</v>
      </c>
      <c r="R54" s="411"/>
    </row>
    <row r="55" spans="1:19" ht="30.75" customHeight="1" thickBot="1" x14ac:dyDescent="0.2">
      <c r="A55" s="254">
        <v>9</v>
      </c>
      <c r="B55" s="279"/>
      <c r="C55" s="409" t="s">
        <v>72</v>
      </c>
      <c r="D55" s="407" t="s">
        <v>348</v>
      </c>
      <c r="E55" s="280">
        <f>E56+E57</f>
        <v>0</v>
      </c>
      <c r="F55" s="280">
        <f t="shared" ref="F55:K55" si="33">F56+F57</f>
        <v>0</v>
      </c>
      <c r="G55" s="280">
        <f t="shared" si="33"/>
        <v>1145521</v>
      </c>
      <c r="H55" s="280">
        <f t="shared" si="33"/>
        <v>0</v>
      </c>
      <c r="I55" s="280">
        <f t="shared" si="33"/>
        <v>0</v>
      </c>
      <c r="J55" s="280">
        <f t="shared" si="33"/>
        <v>0</v>
      </c>
      <c r="K55" s="280">
        <f t="shared" si="33"/>
        <v>0</v>
      </c>
      <c r="L55" s="281">
        <f t="shared" si="31"/>
        <v>1145521</v>
      </c>
      <c r="M55" s="280">
        <f>M56+M57</f>
        <v>158979.87</v>
      </c>
      <c r="N55" s="280"/>
      <c r="O55" s="280"/>
      <c r="P55" s="280"/>
      <c r="Q55" s="282">
        <f t="shared" si="32"/>
        <v>1304500.8700000001</v>
      </c>
      <c r="R55" s="411"/>
    </row>
    <row r="56" spans="1:19" ht="15.75" customHeight="1" thickBot="1" x14ac:dyDescent="0.25">
      <c r="A56" s="254"/>
      <c r="B56" s="279"/>
      <c r="C56" s="647"/>
      <c r="D56" s="447" t="s">
        <v>83</v>
      </c>
      <c r="E56" s="280"/>
      <c r="F56" s="280"/>
      <c r="G56" s="408">
        <v>1112776</v>
      </c>
      <c r="H56" s="408"/>
      <c r="I56" s="280"/>
      <c r="J56" s="280"/>
      <c r="K56" s="280"/>
      <c r="L56" s="281">
        <f t="shared" si="31"/>
        <v>1112776</v>
      </c>
      <c r="M56" s="280">
        <f>'6 beruházások'!D33</f>
        <v>158979.87</v>
      </c>
      <c r="N56" s="280"/>
      <c r="O56" s="280"/>
      <c r="P56" s="280"/>
      <c r="Q56" s="282">
        <f t="shared" si="32"/>
        <v>1271755.8700000001</v>
      </c>
      <c r="R56" s="411"/>
    </row>
    <row r="57" spans="1:19" ht="17.25" customHeight="1" thickBot="1" x14ac:dyDescent="0.25">
      <c r="A57" s="254"/>
      <c r="B57" s="279"/>
      <c r="C57" s="647"/>
      <c r="D57" s="451" t="s">
        <v>84</v>
      </c>
      <c r="E57" s="280"/>
      <c r="F57" s="280"/>
      <c r="G57" s="408">
        <v>32745</v>
      </c>
      <c r="H57" s="408"/>
      <c r="I57" s="280"/>
      <c r="J57" s="280"/>
      <c r="K57" s="280"/>
      <c r="L57" s="281">
        <f t="shared" si="31"/>
        <v>32745</v>
      </c>
      <c r="M57" s="280"/>
      <c r="N57" s="280"/>
      <c r="O57" s="280"/>
      <c r="P57" s="280"/>
      <c r="Q57" s="282">
        <f t="shared" si="32"/>
        <v>32745</v>
      </c>
      <c r="R57" s="411"/>
    </row>
    <row r="58" spans="1:19" ht="12" customHeight="1" thickBot="1" x14ac:dyDescent="0.2">
      <c r="A58" s="254"/>
      <c r="B58" s="279"/>
      <c r="C58" s="647"/>
      <c r="D58" s="648" t="s">
        <v>256</v>
      </c>
      <c r="E58" s="280">
        <f>E59+E60</f>
        <v>0</v>
      </c>
      <c r="F58" s="280">
        <f t="shared" ref="F58:K58" si="34">F59+F60</f>
        <v>0</v>
      </c>
      <c r="G58" s="280">
        <f t="shared" si="34"/>
        <v>3191105</v>
      </c>
      <c r="H58" s="280">
        <f t="shared" si="34"/>
        <v>0</v>
      </c>
      <c r="I58" s="280">
        <f t="shared" si="34"/>
        <v>0</v>
      </c>
      <c r="J58" s="280">
        <f t="shared" si="34"/>
        <v>0</v>
      </c>
      <c r="K58" s="280">
        <f t="shared" si="34"/>
        <v>0</v>
      </c>
      <c r="L58" s="281">
        <f t="shared" si="31"/>
        <v>3191105</v>
      </c>
      <c r="M58" s="280">
        <f>M59+M60</f>
        <v>0</v>
      </c>
      <c r="N58" s="280">
        <f t="shared" ref="N58:O58" si="35">N59+N60</f>
        <v>0</v>
      </c>
      <c r="O58" s="280">
        <f t="shared" si="35"/>
        <v>0</v>
      </c>
      <c r="P58" s="280"/>
      <c r="Q58" s="282">
        <f t="shared" si="32"/>
        <v>3191105</v>
      </c>
      <c r="R58" s="411"/>
    </row>
    <row r="59" spans="1:19" ht="20.25" customHeight="1" thickBot="1" x14ac:dyDescent="0.25">
      <c r="A59" s="254"/>
      <c r="B59" s="279"/>
      <c r="C59" s="647"/>
      <c r="D59" s="447" t="s">
        <v>83</v>
      </c>
      <c r="E59" s="280"/>
      <c r="F59" s="280"/>
      <c r="G59" s="408">
        <v>2972449</v>
      </c>
      <c r="H59" s="408"/>
      <c r="I59" s="280"/>
      <c r="J59" s="280"/>
      <c r="K59" s="280"/>
      <c r="L59" s="281">
        <f t="shared" si="31"/>
        <v>2972449</v>
      </c>
      <c r="M59" s="280"/>
      <c r="N59" s="280"/>
      <c r="O59" s="280"/>
      <c r="P59" s="280"/>
      <c r="Q59" s="282">
        <f t="shared" si="32"/>
        <v>2972449</v>
      </c>
      <c r="R59" s="411"/>
    </row>
    <row r="60" spans="1:19" ht="21" customHeight="1" thickBot="1" x14ac:dyDescent="0.25">
      <c r="A60" s="254"/>
      <c r="B60" s="279"/>
      <c r="C60" s="647"/>
      <c r="D60" s="451" t="s">
        <v>84</v>
      </c>
      <c r="E60" s="280"/>
      <c r="F60" s="280"/>
      <c r="G60" s="408">
        <v>218656</v>
      </c>
      <c r="H60" s="408"/>
      <c r="I60" s="280"/>
      <c r="J60" s="280"/>
      <c r="K60" s="280"/>
      <c r="L60" s="281">
        <f t="shared" si="31"/>
        <v>218656</v>
      </c>
      <c r="M60" s="280"/>
      <c r="N60" s="280"/>
      <c r="O60" s="280"/>
      <c r="P60" s="280"/>
      <c r="Q60" s="282">
        <f t="shared" si="32"/>
        <v>218656</v>
      </c>
      <c r="R60" s="411"/>
    </row>
    <row r="61" spans="1:19" ht="16.5" customHeight="1" thickBot="1" x14ac:dyDescent="0.25">
      <c r="A61" s="254">
        <v>10</v>
      </c>
      <c r="B61" s="283"/>
      <c r="C61" s="649" t="s">
        <v>73</v>
      </c>
      <c r="D61" s="650" t="s">
        <v>268</v>
      </c>
      <c r="E61" s="280">
        <v>200000</v>
      </c>
      <c r="F61" s="280">
        <v>0</v>
      </c>
      <c r="G61" s="408">
        <v>6057288</v>
      </c>
      <c r="H61" s="408"/>
      <c r="I61" s="280"/>
      <c r="J61" s="280"/>
      <c r="K61" s="280"/>
      <c r="L61" s="281">
        <f t="shared" si="29"/>
        <v>6257288</v>
      </c>
      <c r="M61" s="280"/>
      <c r="N61" s="280"/>
      <c r="O61" s="280"/>
      <c r="P61" s="280"/>
      <c r="Q61" s="282">
        <f t="shared" si="30"/>
        <v>6257288</v>
      </c>
      <c r="R61" s="411"/>
    </row>
    <row r="62" spans="1:19" ht="13.5" customHeight="1" thickBot="1" x14ac:dyDescent="0.2">
      <c r="A62" s="271">
        <v>11</v>
      </c>
      <c r="B62" s="284"/>
      <c r="C62" s="651" t="s">
        <v>72</v>
      </c>
      <c r="D62" s="652" t="s">
        <v>259</v>
      </c>
      <c r="E62" s="653">
        <f>SUM(E63:E72)</f>
        <v>17414367</v>
      </c>
      <c r="F62" s="653">
        <f>SUM(F63:F72)</f>
        <v>3590595</v>
      </c>
      <c r="G62" s="653">
        <f>SUM(G63:G72)</f>
        <v>12714721</v>
      </c>
      <c r="H62" s="653">
        <f t="shared" ref="H62:K62" si="36">SUM(H63:H72)</f>
        <v>0</v>
      </c>
      <c r="I62" s="653">
        <f t="shared" si="36"/>
        <v>0</v>
      </c>
      <c r="J62" s="653">
        <f t="shared" si="36"/>
        <v>0</v>
      </c>
      <c r="K62" s="653">
        <f t="shared" si="36"/>
        <v>0</v>
      </c>
      <c r="L62" s="654">
        <f t="shared" ref="L62" si="37">SUM(E62:K62)</f>
        <v>33719683</v>
      </c>
      <c r="M62" s="653">
        <f>SUM(M63:M72)</f>
        <v>408267662</v>
      </c>
      <c r="N62" s="653">
        <f t="shared" ref="N62:P62" si="38">SUM(N63:N67)</f>
        <v>5231394</v>
      </c>
      <c r="O62" s="653">
        <f t="shared" si="38"/>
        <v>0</v>
      </c>
      <c r="P62" s="653">
        <f t="shared" si="38"/>
        <v>0</v>
      </c>
      <c r="Q62" s="655">
        <f t="shared" ref="Q62" si="39">SUM(L62:P62)</f>
        <v>447218739</v>
      </c>
      <c r="R62" s="656"/>
    </row>
    <row r="63" spans="1:19" ht="10.5" customHeight="1" x14ac:dyDescent="0.2">
      <c r="A63" s="269"/>
      <c r="B63" s="259">
        <v>1</v>
      </c>
      <c r="C63" s="404"/>
      <c r="D63" s="657" t="s">
        <v>274</v>
      </c>
      <c r="E63" s="475">
        <v>326360</v>
      </c>
      <c r="F63" s="475">
        <v>63640</v>
      </c>
      <c r="G63" s="474">
        <f>960000-E63-F63</f>
        <v>570000</v>
      </c>
      <c r="H63" s="474"/>
      <c r="I63" s="475"/>
      <c r="J63" s="475"/>
      <c r="K63" s="475"/>
      <c r="L63" s="471">
        <f t="shared" ref="L63:L69" si="40">SUM(E63:K63)</f>
        <v>960000</v>
      </c>
      <c r="M63" s="475"/>
      <c r="N63" s="475"/>
      <c r="O63" s="475"/>
      <c r="P63" s="475"/>
      <c r="Q63" s="470">
        <f>SUM(L63:P63)</f>
        <v>960000</v>
      </c>
      <c r="R63" s="472"/>
      <c r="S63" s="106"/>
    </row>
    <row r="64" spans="1:19" ht="11.25" customHeight="1" x14ac:dyDescent="0.2">
      <c r="A64" s="245"/>
      <c r="B64" s="246">
        <f>B63+1</f>
        <v>2</v>
      </c>
      <c r="C64" s="404"/>
      <c r="D64" s="405" t="s">
        <v>309</v>
      </c>
      <c r="E64" s="313"/>
      <c r="F64" s="313"/>
      <c r="G64" s="314">
        <v>8018835</v>
      </c>
      <c r="H64" s="314"/>
      <c r="I64" s="313"/>
      <c r="J64" s="313"/>
      <c r="K64" s="313"/>
      <c r="L64" s="471">
        <f t="shared" si="40"/>
        <v>8018835</v>
      </c>
      <c r="M64" s="313">
        <v>32390898</v>
      </c>
      <c r="N64" s="313"/>
      <c r="O64" s="313"/>
      <c r="P64" s="313"/>
      <c r="Q64" s="316">
        <f>M64+L64+N64+O64+P64</f>
        <v>40409733</v>
      </c>
      <c r="R64" s="298"/>
    </row>
    <row r="65" spans="1:18" ht="12" customHeight="1" x14ac:dyDescent="0.2">
      <c r="A65" s="245"/>
      <c r="B65" s="246">
        <f t="shared" ref="B65:B67" si="41">B64+1</f>
        <v>3</v>
      </c>
      <c r="C65" s="404"/>
      <c r="D65" s="658" t="s">
        <v>311</v>
      </c>
      <c r="E65" s="313">
        <v>258750</v>
      </c>
      <c r="F65" s="313">
        <v>116250</v>
      </c>
      <c r="G65" s="314">
        <v>2175790</v>
      </c>
      <c r="H65" s="314"/>
      <c r="I65" s="313"/>
      <c r="J65" s="313"/>
      <c r="K65" s="313"/>
      <c r="L65" s="315">
        <f t="shared" si="40"/>
        <v>2550790</v>
      </c>
      <c r="M65" s="313">
        <f>'6 beruházások'!D49</f>
        <v>71755290</v>
      </c>
      <c r="N65" s="313"/>
      <c r="O65" s="313"/>
      <c r="P65" s="313"/>
      <c r="Q65" s="316">
        <f>SUM(L65:P65)</f>
        <v>74306080</v>
      </c>
      <c r="R65" s="298"/>
    </row>
    <row r="66" spans="1:18" ht="11.25" customHeight="1" x14ac:dyDescent="0.2">
      <c r="A66" s="245"/>
      <c r="B66" s="246">
        <f t="shared" si="41"/>
        <v>4</v>
      </c>
      <c r="C66" s="404"/>
      <c r="D66" s="658" t="s">
        <v>275</v>
      </c>
      <c r="E66" s="313">
        <f>372832+53262</f>
        <v>426094</v>
      </c>
      <c r="F66" s="313">
        <v>106524</v>
      </c>
      <c r="G66" s="314">
        <f>1065238+170000+532618+1065238+2+127000-200000-810000</f>
        <v>1950096</v>
      </c>
      <c r="H66" s="314"/>
      <c r="I66" s="313"/>
      <c r="J66" s="313"/>
      <c r="K66" s="313"/>
      <c r="L66" s="315">
        <f t="shared" si="40"/>
        <v>2482714</v>
      </c>
      <c r="M66" s="313">
        <f>96224182</f>
        <v>96224182</v>
      </c>
      <c r="N66" s="635">
        <v>5231394</v>
      </c>
      <c r="O66" s="313"/>
      <c r="P66" s="313"/>
      <c r="Q66" s="316">
        <f>SUM(L66:P66)</f>
        <v>103938290</v>
      </c>
      <c r="R66" s="298"/>
    </row>
    <row r="67" spans="1:18" ht="12.75" customHeight="1" x14ac:dyDescent="0.2">
      <c r="A67" s="245"/>
      <c r="B67" s="246">
        <f t="shared" si="41"/>
        <v>5</v>
      </c>
      <c r="C67" s="404"/>
      <c r="D67" s="23" t="s">
        <v>276</v>
      </c>
      <c r="E67" s="248">
        <f>496625+70946</f>
        <v>567571</v>
      </c>
      <c r="F67" s="248">
        <v>141893</v>
      </c>
      <c r="G67" s="480">
        <v>0</v>
      </c>
      <c r="H67" s="480"/>
      <c r="I67" s="248"/>
      <c r="J67" s="248"/>
      <c r="K67" s="248"/>
      <c r="L67" s="249">
        <f t="shared" si="40"/>
        <v>709464</v>
      </c>
      <c r="M67" s="248">
        <f>'6 beruházások'!D52</f>
        <v>134777466</v>
      </c>
      <c r="N67" s="248"/>
      <c r="O67" s="248"/>
      <c r="P67" s="248"/>
      <c r="Q67" s="250">
        <f>SUM(L67:P67)</f>
        <v>135486930</v>
      </c>
      <c r="R67" s="251"/>
    </row>
    <row r="68" spans="1:18" ht="12.75" customHeight="1" x14ac:dyDescent="0.2">
      <c r="A68" s="245"/>
      <c r="B68" s="246"/>
      <c r="C68" s="404"/>
      <c r="D68" s="405" t="s">
        <v>277</v>
      </c>
      <c r="E68" s="313">
        <v>207792</v>
      </c>
      <c r="F68" s="313">
        <v>60708</v>
      </c>
      <c r="G68" s="314">
        <v>0</v>
      </c>
      <c r="H68" s="314"/>
      <c r="I68" s="313"/>
      <c r="J68" s="313"/>
      <c r="K68" s="313"/>
      <c r="L68" s="315">
        <f t="shared" si="40"/>
        <v>268500</v>
      </c>
      <c r="M68" s="313">
        <v>49241416</v>
      </c>
      <c r="N68" s="313"/>
      <c r="O68" s="313"/>
      <c r="P68" s="313"/>
      <c r="Q68" s="316">
        <f>SUM(L68:P68)</f>
        <v>49509916</v>
      </c>
      <c r="R68" s="406"/>
    </row>
    <row r="69" spans="1:18" ht="12.75" customHeight="1" x14ac:dyDescent="0.2">
      <c r="A69" s="245"/>
      <c r="B69" s="246"/>
      <c r="C69" s="404"/>
      <c r="D69" s="405" t="s">
        <v>343</v>
      </c>
      <c r="E69" s="313">
        <f>892800+14735000</f>
        <v>15627800</v>
      </c>
      <c r="F69" s="313">
        <v>3101580</v>
      </c>
      <c r="G69" s="314">
        <v>0</v>
      </c>
      <c r="H69" s="314"/>
      <c r="I69" s="313"/>
      <c r="J69" s="313"/>
      <c r="K69" s="313"/>
      <c r="L69" s="315">
        <f t="shared" si="40"/>
        <v>18729380</v>
      </c>
      <c r="M69" s="313">
        <f>'6 beruházások'!D58</f>
        <v>974763</v>
      </c>
      <c r="N69" s="313"/>
      <c r="O69" s="313"/>
      <c r="P69" s="313"/>
      <c r="Q69" s="316">
        <f>SUM(L69:P69)</f>
        <v>19704143</v>
      </c>
      <c r="R69" s="406">
        <v>2</v>
      </c>
    </row>
    <row r="70" spans="1:18" ht="12.75" customHeight="1" x14ac:dyDescent="0.2">
      <c r="A70" s="235" t="s">
        <v>308</v>
      </c>
      <c r="B70" s="246"/>
      <c r="C70" s="404"/>
      <c r="D70" s="270" t="s">
        <v>317</v>
      </c>
      <c r="E70" s="313"/>
      <c r="F70" s="313"/>
      <c r="G70" s="314"/>
      <c r="H70" s="314"/>
      <c r="I70" s="313"/>
      <c r="J70" s="313"/>
      <c r="K70" s="313"/>
      <c r="L70" s="315">
        <f t="shared" ref="L70:L72" si="42">SUM(E70:K70)</f>
        <v>0</v>
      </c>
      <c r="M70" s="313">
        <f>'6 beruházások'!D55</f>
        <v>8769066</v>
      </c>
      <c r="N70" s="313"/>
      <c r="O70" s="313"/>
      <c r="P70" s="313"/>
      <c r="Q70" s="316">
        <f>M70+L70</f>
        <v>8769066</v>
      </c>
      <c r="R70" s="406"/>
    </row>
    <row r="71" spans="1:18" ht="24" customHeight="1" x14ac:dyDescent="0.2">
      <c r="A71" s="235"/>
      <c r="B71" s="246"/>
      <c r="C71" s="404"/>
      <c r="D71" s="659" t="s">
        <v>321</v>
      </c>
      <c r="E71" s="313"/>
      <c r="F71" s="313"/>
      <c r="G71" s="314"/>
      <c r="H71" s="314"/>
      <c r="I71" s="313"/>
      <c r="J71" s="313"/>
      <c r="K71" s="313"/>
      <c r="L71" s="315">
        <f t="shared" si="42"/>
        <v>0</v>
      </c>
      <c r="M71" s="313">
        <f>'6 beruházások'!D56</f>
        <v>750000</v>
      </c>
      <c r="N71" s="313"/>
      <c r="O71" s="313"/>
      <c r="P71" s="313"/>
      <c r="Q71" s="316">
        <f>M71+L71</f>
        <v>750000</v>
      </c>
      <c r="R71" s="406"/>
    </row>
    <row r="72" spans="1:18" ht="27" customHeight="1" thickBot="1" x14ac:dyDescent="0.25">
      <c r="A72" s="245"/>
      <c r="B72" s="246">
        <f>B67+1</f>
        <v>6</v>
      </c>
      <c r="C72" s="404"/>
      <c r="D72" s="660" t="s">
        <v>320</v>
      </c>
      <c r="E72" s="313"/>
      <c r="F72" s="313"/>
      <c r="G72" s="314">
        <v>0</v>
      </c>
      <c r="H72" s="314"/>
      <c r="I72" s="313"/>
      <c r="J72" s="313"/>
      <c r="K72" s="313"/>
      <c r="L72" s="315">
        <f t="shared" si="42"/>
        <v>0</v>
      </c>
      <c r="M72" s="313">
        <f>'6 beruházások'!D57</f>
        <v>13384581</v>
      </c>
      <c r="N72" s="313"/>
      <c r="O72" s="313"/>
      <c r="P72" s="313"/>
      <c r="Q72" s="316">
        <f>SUM(L72:P72)</f>
        <v>13384581</v>
      </c>
      <c r="R72" s="406"/>
    </row>
    <row r="73" spans="1:18" ht="32.25" customHeight="1" x14ac:dyDescent="0.15">
      <c r="A73" s="263">
        <v>12</v>
      </c>
      <c r="B73" s="264"/>
      <c r="C73" s="661"/>
      <c r="D73" s="662" t="s">
        <v>270</v>
      </c>
      <c r="E73" s="616">
        <f>E75+E74</f>
        <v>4606637</v>
      </c>
      <c r="F73" s="616">
        <f t="shared" ref="F73:K73" si="43">F75+F74</f>
        <v>983827</v>
      </c>
      <c r="G73" s="616">
        <f>G75+G74</f>
        <v>2341382</v>
      </c>
      <c r="H73" s="616">
        <f t="shared" si="43"/>
        <v>2100000</v>
      </c>
      <c r="I73" s="616">
        <f t="shared" si="43"/>
        <v>750000</v>
      </c>
      <c r="J73" s="616">
        <f t="shared" si="43"/>
        <v>490000</v>
      </c>
      <c r="K73" s="616">
        <f t="shared" si="43"/>
        <v>0</v>
      </c>
      <c r="L73" s="616">
        <f t="shared" ref="L73:L75" si="44">SUM(E73:K73)</f>
        <v>11271846</v>
      </c>
      <c r="M73" s="616">
        <f>SUM(M74:M75)</f>
        <v>0</v>
      </c>
      <c r="N73" s="616">
        <f t="shared" ref="N73:P73" si="45">SUM(N74:N75)</f>
        <v>0</v>
      </c>
      <c r="O73" s="616">
        <f t="shared" si="45"/>
        <v>0</v>
      </c>
      <c r="P73" s="616">
        <f t="shared" si="45"/>
        <v>0</v>
      </c>
      <c r="Q73" s="618">
        <f t="shared" ref="Q73:Q75" si="46">SUM(L73:P73)</f>
        <v>11271846</v>
      </c>
      <c r="R73" s="619">
        <f>R81</f>
        <v>1.5</v>
      </c>
    </row>
    <row r="74" spans="1:18" ht="13.5" customHeight="1" x14ac:dyDescent="0.2">
      <c r="A74" s="265"/>
      <c r="B74" s="266"/>
      <c r="C74" s="663"/>
      <c r="D74" s="664" t="s">
        <v>83</v>
      </c>
      <c r="E74" s="616">
        <f>E77+E80+E81+E82</f>
        <v>4606637</v>
      </c>
      <c r="F74" s="616">
        <f t="shared" ref="F74:K74" si="47">F77+F80+F81+F82</f>
        <v>983827</v>
      </c>
      <c r="G74" s="616">
        <f t="shared" si="47"/>
        <v>1531382</v>
      </c>
      <c r="H74" s="616">
        <f>H77+H80+H81+H82</f>
        <v>2100000</v>
      </c>
      <c r="I74" s="616">
        <f t="shared" si="47"/>
        <v>750000</v>
      </c>
      <c r="J74" s="616">
        <f t="shared" si="47"/>
        <v>0</v>
      </c>
      <c r="K74" s="616">
        <f t="shared" si="47"/>
        <v>0</v>
      </c>
      <c r="L74" s="665">
        <f t="shared" si="44"/>
        <v>9971846</v>
      </c>
      <c r="M74" s="616">
        <f>M77+M80+M81+M82</f>
        <v>0</v>
      </c>
      <c r="N74" s="616">
        <f>N77+N80+N81+N82</f>
        <v>0</v>
      </c>
      <c r="O74" s="616">
        <f>O77+O80+O81+O82</f>
        <v>0</v>
      </c>
      <c r="P74" s="616">
        <f>P77+P80+P81+P82</f>
        <v>0</v>
      </c>
      <c r="Q74" s="625">
        <f t="shared" si="46"/>
        <v>9971846</v>
      </c>
      <c r="R74" s="619"/>
    </row>
    <row r="75" spans="1:18" ht="15.75" customHeight="1" x14ac:dyDescent="0.2">
      <c r="A75" s="265"/>
      <c r="B75" s="266"/>
      <c r="C75" s="663"/>
      <c r="D75" s="664" t="s">
        <v>84</v>
      </c>
      <c r="E75" s="616">
        <f>E76+E78+E79</f>
        <v>0</v>
      </c>
      <c r="F75" s="616">
        <f t="shared" ref="F75:G75" si="48">F76+F78+F79</f>
        <v>0</v>
      </c>
      <c r="G75" s="616">
        <f t="shared" si="48"/>
        <v>810000</v>
      </c>
      <c r="H75" s="616">
        <f>H76+H78+H79</f>
        <v>0</v>
      </c>
      <c r="I75" s="616">
        <f t="shared" ref="I75" si="49">I76+I78+I79</f>
        <v>0</v>
      </c>
      <c r="J75" s="616">
        <f t="shared" ref="J75" si="50">J76+J78+J79</f>
        <v>490000</v>
      </c>
      <c r="K75" s="616">
        <f t="shared" ref="K75" si="51">K76+K78+K79</f>
        <v>0</v>
      </c>
      <c r="L75" s="616">
        <f t="shared" si="44"/>
        <v>1300000</v>
      </c>
      <c r="M75" s="616">
        <f>M76+M78+M79</f>
        <v>0</v>
      </c>
      <c r="N75" s="616">
        <f t="shared" ref="N75:P75" si="52">N76+N78+N79</f>
        <v>0</v>
      </c>
      <c r="O75" s="616">
        <f t="shared" si="52"/>
        <v>0</v>
      </c>
      <c r="P75" s="616">
        <f t="shared" si="52"/>
        <v>0</v>
      </c>
      <c r="Q75" s="666">
        <f t="shared" si="46"/>
        <v>1300000</v>
      </c>
      <c r="R75" s="619"/>
    </row>
    <row r="76" spans="1:18" ht="12" customHeight="1" x14ac:dyDescent="0.2">
      <c r="A76" s="252"/>
      <c r="B76" s="253">
        <v>1</v>
      </c>
      <c r="C76" s="247" t="s">
        <v>73</v>
      </c>
      <c r="D76" s="483" t="s">
        <v>235</v>
      </c>
      <c r="E76" s="313">
        <v>0</v>
      </c>
      <c r="F76" s="313"/>
      <c r="G76" s="314">
        <v>0</v>
      </c>
      <c r="H76" s="314">
        <v>0</v>
      </c>
      <c r="I76" s="313">
        <v>0</v>
      </c>
      <c r="J76" s="313"/>
      <c r="K76" s="313"/>
      <c r="L76" s="315">
        <f>SUM(E76:K76)</f>
        <v>0</v>
      </c>
      <c r="M76" s="313"/>
      <c r="N76" s="313"/>
      <c r="O76" s="313"/>
      <c r="P76" s="313"/>
      <c r="Q76" s="316">
        <f>L76</f>
        <v>0</v>
      </c>
      <c r="R76" s="298"/>
    </row>
    <row r="77" spans="1:18" ht="11.25" customHeight="1" x14ac:dyDescent="0.2">
      <c r="A77" s="252"/>
      <c r="B77" s="253">
        <v>2</v>
      </c>
      <c r="C77" s="247" t="s">
        <v>72</v>
      </c>
      <c r="D77" s="483" t="s">
        <v>263</v>
      </c>
      <c r="E77" s="313">
        <v>0</v>
      </c>
      <c r="F77" s="313"/>
      <c r="G77" s="314"/>
      <c r="H77" s="314">
        <v>1990000</v>
      </c>
      <c r="I77" s="313"/>
      <c r="J77" s="313"/>
      <c r="K77" s="313"/>
      <c r="L77" s="315">
        <f>SUM(E77:K77)</f>
        <v>1990000</v>
      </c>
      <c r="M77" s="313"/>
      <c r="N77" s="313"/>
      <c r="O77" s="313"/>
      <c r="P77" s="313"/>
      <c r="Q77" s="316">
        <f>SUM(L77:P77)</f>
        <v>1990000</v>
      </c>
      <c r="R77" s="298"/>
    </row>
    <row r="78" spans="1:18" ht="9.75" customHeight="1" x14ac:dyDescent="0.2">
      <c r="A78" s="252"/>
      <c r="B78" s="253">
        <v>3</v>
      </c>
      <c r="C78" s="247" t="s">
        <v>73</v>
      </c>
      <c r="D78" s="483" t="s">
        <v>247</v>
      </c>
      <c r="E78" s="313"/>
      <c r="F78" s="313"/>
      <c r="G78" s="314">
        <v>810000</v>
      </c>
      <c r="H78" s="314"/>
      <c r="I78" s="313"/>
      <c r="J78" s="313"/>
      <c r="K78" s="313"/>
      <c r="L78" s="315">
        <f t="shared" ref="L78:L80" si="53">SUM(E78:K78)</f>
        <v>810000</v>
      </c>
      <c r="M78" s="313"/>
      <c r="N78" s="313"/>
      <c r="O78" s="313"/>
      <c r="P78" s="313"/>
      <c r="Q78" s="316">
        <f t="shared" ref="Q78:Q80" si="54">SUM(L78:P78)</f>
        <v>810000</v>
      </c>
      <c r="R78" s="298"/>
    </row>
    <row r="79" spans="1:18" ht="13.5" customHeight="1" x14ac:dyDescent="0.2">
      <c r="A79" s="252"/>
      <c r="B79" s="253">
        <v>4</v>
      </c>
      <c r="C79" s="247" t="s">
        <v>73</v>
      </c>
      <c r="D79" s="483" t="s">
        <v>241</v>
      </c>
      <c r="E79" s="313"/>
      <c r="F79" s="313"/>
      <c r="G79" s="314"/>
      <c r="H79" s="314"/>
      <c r="I79" s="313"/>
      <c r="J79" s="313">
        <v>490000</v>
      </c>
      <c r="K79" s="313"/>
      <c r="L79" s="315">
        <f t="shared" si="53"/>
        <v>490000</v>
      </c>
      <c r="M79" s="313"/>
      <c r="N79" s="313"/>
      <c r="O79" s="313"/>
      <c r="P79" s="313"/>
      <c r="Q79" s="316">
        <f t="shared" si="54"/>
        <v>490000</v>
      </c>
      <c r="R79" s="298"/>
    </row>
    <row r="80" spans="1:18" ht="12" customHeight="1" x14ac:dyDescent="0.2">
      <c r="A80" s="252"/>
      <c r="B80" s="253">
        <v>5</v>
      </c>
      <c r="C80" s="247" t="s">
        <v>72</v>
      </c>
      <c r="D80" s="483" t="s">
        <v>265</v>
      </c>
      <c r="E80" s="313"/>
      <c r="F80" s="313"/>
      <c r="G80" s="314"/>
      <c r="H80" s="314">
        <f>100000+10000</f>
        <v>110000</v>
      </c>
      <c r="I80" s="313"/>
      <c r="J80" s="313"/>
      <c r="K80" s="313"/>
      <c r="L80" s="315">
        <f t="shared" si="53"/>
        <v>110000</v>
      </c>
      <c r="M80" s="313"/>
      <c r="N80" s="313"/>
      <c r="O80" s="313"/>
      <c r="P80" s="313"/>
      <c r="Q80" s="316">
        <f t="shared" si="54"/>
        <v>110000</v>
      </c>
      <c r="R80" s="298"/>
    </row>
    <row r="81" spans="1:20" ht="9.75" customHeight="1" x14ac:dyDescent="0.2">
      <c r="A81" s="252"/>
      <c r="B81" s="253">
        <v>6</v>
      </c>
      <c r="C81" s="247" t="s">
        <v>72</v>
      </c>
      <c r="D81" s="359" t="s">
        <v>215</v>
      </c>
      <c r="E81" s="313">
        <v>4606637</v>
      </c>
      <c r="F81" s="313">
        <v>983827</v>
      </c>
      <c r="G81" s="314">
        <v>931382</v>
      </c>
      <c r="H81" s="314"/>
      <c r="I81" s="313"/>
      <c r="J81" s="313"/>
      <c r="K81" s="313"/>
      <c r="L81" s="315">
        <f>SUM(E81:K81)</f>
        <v>6521846</v>
      </c>
      <c r="M81" s="313"/>
      <c r="N81" s="313"/>
      <c r="O81" s="313"/>
      <c r="P81" s="313"/>
      <c r="Q81" s="316">
        <f>SUM(L81:P81)</f>
        <v>6521846</v>
      </c>
      <c r="R81" s="298">
        <v>1.5</v>
      </c>
    </row>
    <row r="82" spans="1:20" ht="12.75" customHeight="1" thickBot="1" x14ac:dyDescent="0.25">
      <c r="A82" s="256"/>
      <c r="B82" s="257">
        <v>8</v>
      </c>
      <c r="C82" s="667" t="s">
        <v>72</v>
      </c>
      <c r="D82" s="668" t="s">
        <v>335</v>
      </c>
      <c r="E82" s="669">
        <v>0</v>
      </c>
      <c r="F82" s="669"/>
      <c r="G82" s="670">
        <v>600000</v>
      </c>
      <c r="H82" s="670"/>
      <c r="I82" s="669">
        <f>62500*12</f>
        <v>750000</v>
      </c>
      <c r="J82" s="669"/>
      <c r="K82" s="669"/>
      <c r="L82" s="315">
        <f t="shared" ref="L82" si="55">SUM(E82:K82)</f>
        <v>1350000</v>
      </c>
      <c r="M82" s="669"/>
      <c r="N82" s="669"/>
      <c r="O82" s="670"/>
      <c r="P82" s="670"/>
      <c r="Q82" s="671">
        <f>SUM(L82:P82)</f>
        <v>1350000</v>
      </c>
      <c r="R82" s="593"/>
    </row>
    <row r="83" spans="1:20" s="22" customFormat="1" ht="12.75" customHeight="1" x14ac:dyDescent="0.15">
      <c r="A83" s="293">
        <v>13</v>
      </c>
      <c r="B83" s="294"/>
      <c r="C83" s="672" t="s">
        <v>72</v>
      </c>
      <c r="D83" s="673" t="s">
        <v>0</v>
      </c>
      <c r="E83" s="616">
        <f>+E84</f>
        <v>25403940</v>
      </c>
      <c r="F83" s="616">
        <f t="shared" ref="F83:K83" si="56">+F84</f>
        <v>2263123</v>
      </c>
      <c r="G83" s="616">
        <f t="shared" si="56"/>
        <v>20781719</v>
      </c>
      <c r="H83" s="616">
        <f t="shared" si="56"/>
        <v>0</v>
      </c>
      <c r="I83" s="616">
        <f t="shared" si="56"/>
        <v>0</v>
      </c>
      <c r="J83" s="616">
        <f t="shared" si="56"/>
        <v>0</v>
      </c>
      <c r="K83" s="616">
        <f t="shared" si="56"/>
        <v>0</v>
      </c>
      <c r="L83" s="616">
        <f>SUM(E83:K83)</f>
        <v>48448782</v>
      </c>
      <c r="M83" s="616">
        <f>M84</f>
        <v>1435538</v>
      </c>
      <c r="N83" s="616"/>
      <c r="O83" s="616"/>
      <c r="P83" s="616"/>
      <c r="Q83" s="618">
        <f>SUM(L83:P83)</f>
        <v>49884320</v>
      </c>
      <c r="R83" s="674">
        <f>R84</f>
        <v>26</v>
      </c>
    </row>
    <row r="84" spans="1:20" ht="12" customHeight="1" thickBot="1" x14ac:dyDescent="0.25">
      <c r="A84" s="253"/>
      <c r="B84" s="259">
        <v>2</v>
      </c>
      <c r="C84" s="675" t="s">
        <v>72</v>
      </c>
      <c r="D84" s="642" t="s">
        <v>273</v>
      </c>
      <c r="E84" s="248">
        <v>25403940</v>
      </c>
      <c r="F84" s="248">
        <v>2263123</v>
      </c>
      <c r="G84" s="480">
        <v>20781719</v>
      </c>
      <c r="H84" s="480"/>
      <c r="I84" s="248"/>
      <c r="J84" s="248"/>
      <c r="K84" s="248"/>
      <c r="L84" s="249">
        <f t="shared" ref="L84:L88" si="57">SUM(E84:K84)</f>
        <v>48448782</v>
      </c>
      <c r="M84" s="248">
        <f>'6 beruházások'!D34</f>
        <v>1435538</v>
      </c>
      <c r="N84" s="248"/>
      <c r="O84" s="248"/>
      <c r="P84" s="248"/>
      <c r="Q84" s="250">
        <f>SUM(L84:P84)</f>
        <v>49884320</v>
      </c>
      <c r="R84" s="251">
        <v>26</v>
      </c>
    </row>
    <row r="85" spans="1:20" ht="26.25" customHeight="1" thickBot="1" x14ac:dyDescent="0.2">
      <c r="A85" s="252">
        <v>14</v>
      </c>
      <c r="B85" s="285"/>
      <c r="C85" s="286" t="s">
        <v>72</v>
      </c>
      <c r="D85" s="407" t="s">
        <v>230</v>
      </c>
      <c r="E85" s="280">
        <v>5479619</v>
      </c>
      <c r="F85" s="280">
        <v>1205516</v>
      </c>
      <c r="G85" s="408">
        <v>2986745</v>
      </c>
      <c r="H85" s="408"/>
      <c r="I85" s="280"/>
      <c r="J85" s="280">
        <v>0</v>
      </c>
      <c r="K85" s="280"/>
      <c r="L85" s="281">
        <f t="shared" si="57"/>
        <v>9671880</v>
      </c>
      <c r="M85" s="280">
        <f>'6 beruházások'!D25</f>
        <v>602098</v>
      </c>
      <c r="N85" s="280"/>
      <c r="O85" s="280"/>
      <c r="P85" s="280"/>
      <c r="Q85" s="282">
        <f t="shared" ref="Q85:Q87" si="58">SUM(L85:P85)</f>
        <v>10273978</v>
      </c>
      <c r="R85" s="360">
        <v>2</v>
      </c>
    </row>
    <row r="86" spans="1:20" ht="26.25" customHeight="1" thickBot="1" x14ac:dyDescent="0.2">
      <c r="A86" s="317"/>
      <c r="B86" s="285"/>
      <c r="C86" s="286" t="s">
        <v>73</v>
      </c>
      <c r="D86" s="676" t="s">
        <v>332</v>
      </c>
      <c r="E86" s="280">
        <v>1161345</v>
      </c>
      <c r="F86" s="280">
        <v>216600</v>
      </c>
      <c r="G86" s="408">
        <v>400000</v>
      </c>
      <c r="H86" s="408"/>
      <c r="I86" s="280"/>
      <c r="J86" s="280"/>
      <c r="K86" s="280"/>
      <c r="L86" s="281">
        <f t="shared" si="57"/>
        <v>1777945</v>
      </c>
      <c r="M86" s="280">
        <f>'6 beruházások'!D32</f>
        <v>45000</v>
      </c>
      <c r="N86" s="280"/>
      <c r="O86" s="280"/>
      <c r="P86" s="280"/>
      <c r="Q86" s="282">
        <f t="shared" si="58"/>
        <v>1822945</v>
      </c>
      <c r="R86" s="360">
        <v>1</v>
      </c>
    </row>
    <row r="87" spans="1:20" ht="26.25" customHeight="1" thickBot="1" x14ac:dyDescent="0.2">
      <c r="A87" s="236">
        <v>15</v>
      </c>
      <c r="B87" s="285"/>
      <c r="C87" s="286" t="s">
        <v>72</v>
      </c>
      <c r="D87" s="676" t="s">
        <v>296</v>
      </c>
      <c r="E87" s="280"/>
      <c r="F87" s="280"/>
      <c r="G87" s="408"/>
      <c r="H87" s="408"/>
      <c r="I87" s="280"/>
      <c r="J87" s="280"/>
      <c r="K87" s="280"/>
      <c r="L87" s="281">
        <f t="shared" si="57"/>
        <v>0</v>
      </c>
      <c r="M87" s="280"/>
      <c r="N87" s="280"/>
      <c r="O87" s="280"/>
      <c r="P87" s="280"/>
      <c r="Q87" s="282">
        <f t="shared" si="58"/>
        <v>0</v>
      </c>
      <c r="R87" s="360"/>
    </row>
    <row r="88" spans="1:20" s="22" customFormat="1" ht="12" customHeight="1" thickBot="1" x14ac:dyDescent="0.2">
      <c r="A88" s="285">
        <v>16</v>
      </c>
      <c r="B88" s="285"/>
      <c r="C88" s="286" t="s">
        <v>73</v>
      </c>
      <c r="D88" s="677" t="s">
        <v>101</v>
      </c>
      <c r="E88" s="281">
        <v>0</v>
      </c>
      <c r="F88" s="281"/>
      <c r="G88" s="280"/>
      <c r="H88" s="280"/>
      <c r="I88" s="280">
        <v>160849</v>
      </c>
      <c r="J88" s="280"/>
      <c r="K88" s="281"/>
      <c r="L88" s="281">
        <f t="shared" si="57"/>
        <v>160849</v>
      </c>
      <c r="M88" s="281"/>
      <c r="N88" s="281"/>
      <c r="O88" s="281"/>
      <c r="P88" s="281"/>
      <c r="Q88" s="282">
        <f>L88</f>
        <v>160849</v>
      </c>
      <c r="R88" s="360"/>
      <c r="S88" s="87"/>
      <c r="T88" s="104"/>
    </row>
    <row r="89" spans="1:20" s="22" customFormat="1" ht="12" customHeight="1" thickBot="1" x14ac:dyDescent="0.2">
      <c r="A89" s="258">
        <v>17</v>
      </c>
      <c r="B89" s="287"/>
      <c r="C89" s="286" t="s">
        <v>72</v>
      </c>
      <c r="D89" s="361" t="s">
        <v>278</v>
      </c>
      <c r="E89" s="281">
        <v>30000</v>
      </c>
      <c r="F89" s="281">
        <v>12213</v>
      </c>
      <c r="G89" s="280">
        <v>520000</v>
      </c>
      <c r="H89" s="280"/>
      <c r="I89" s="280"/>
      <c r="J89" s="280"/>
      <c r="K89" s="281"/>
      <c r="L89" s="281">
        <f>SUM(E89:K89)</f>
        <v>562213</v>
      </c>
      <c r="M89" s="281"/>
      <c r="N89" s="281"/>
      <c r="O89" s="281"/>
      <c r="P89" s="281"/>
      <c r="Q89" s="282"/>
      <c r="R89" s="360"/>
      <c r="S89" s="104"/>
      <c r="T89" s="104"/>
    </row>
    <row r="90" spans="1:20" ht="11.45" customHeight="1" thickBot="1" x14ac:dyDescent="0.25">
      <c r="A90" s="253">
        <v>18</v>
      </c>
      <c r="B90" s="283"/>
      <c r="C90" s="286" t="s">
        <v>72</v>
      </c>
      <c r="D90" s="410" t="s">
        <v>255</v>
      </c>
      <c r="E90" s="280"/>
      <c r="F90" s="280"/>
      <c r="G90" s="408">
        <v>0</v>
      </c>
      <c r="H90" s="408"/>
      <c r="I90" s="280"/>
      <c r="J90" s="280"/>
      <c r="K90" s="280">
        <v>0</v>
      </c>
      <c r="L90" s="281">
        <f t="shared" si="25"/>
        <v>0</v>
      </c>
      <c r="M90" s="280"/>
      <c r="N90" s="280"/>
      <c r="O90" s="280"/>
      <c r="P90" s="280"/>
      <c r="Q90" s="282">
        <f t="shared" si="27"/>
        <v>0</v>
      </c>
      <c r="R90" s="411"/>
    </row>
    <row r="91" spans="1:20" s="22" customFormat="1" ht="12" customHeight="1" thickBot="1" x14ac:dyDescent="0.25">
      <c r="A91" s="946" t="s">
        <v>279</v>
      </c>
      <c r="B91" s="947"/>
      <c r="C91" s="947"/>
      <c r="D91" s="947"/>
      <c r="E91" s="362">
        <f>E92+E93+E94</f>
        <v>70266564</v>
      </c>
      <c r="F91" s="362">
        <f t="shared" ref="F91:K91" si="59">F92+F93+F94</f>
        <v>12107292</v>
      </c>
      <c r="G91" s="362">
        <f>G92+G93+G94</f>
        <v>84844819</v>
      </c>
      <c r="H91" s="362">
        <f t="shared" si="59"/>
        <v>2100000</v>
      </c>
      <c r="I91" s="362">
        <f t="shared" si="59"/>
        <v>910849</v>
      </c>
      <c r="J91" s="362">
        <f>J92+J93+J94</f>
        <v>5619411</v>
      </c>
      <c r="K91" s="362">
        <f t="shared" si="59"/>
        <v>7316320</v>
      </c>
      <c r="L91" s="362">
        <f>SUM(E91:K91)</f>
        <v>183165255</v>
      </c>
      <c r="M91" s="362">
        <f>M92+M93+M94</f>
        <v>434782237.87</v>
      </c>
      <c r="N91" s="362">
        <f>+N36+N83+N85</f>
        <v>5231394</v>
      </c>
      <c r="O91" s="362">
        <f>+O36+O83+O85</f>
        <v>0</v>
      </c>
      <c r="P91" s="362">
        <f>+P36+P83+P85</f>
        <v>0</v>
      </c>
      <c r="Q91" s="362">
        <f>SUM(L91:P91)</f>
        <v>623178886.87</v>
      </c>
      <c r="R91" s="363">
        <f>R92+R93+R94</f>
        <v>36.5</v>
      </c>
      <c r="S91" s="87"/>
      <c r="T91" s="104"/>
    </row>
    <row r="92" spans="1:20" s="27" customFormat="1" ht="12" customHeight="1" thickBot="1" x14ac:dyDescent="0.25">
      <c r="A92" s="951" t="s">
        <v>83</v>
      </c>
      <c r="B92" s="952"/>
      <c r="C92" s="952"/>
      <c r="D92" s="953"/>
      <c r="E92" s="364">
        <f>E37+E49+E50+E51+E52+E53+E54+E55+E74+E83+E85+E89+E90+E62</f>
        <v>68905219</v>
      </c>
      <c r="F92" s="364">
        <f t="shared" ref="F92:K92" si="60">F37+F49+F50+F51+F52+F53+F54+F55+F74+F83+F85+F89+F90+F62</f>
        <v>11890692</v>
      </c>
      <c r="G92" s="364">
        <f>G89+G87+G85+G83+G74+G62+G59+G56+G54+G53+G52+G50+G49+G37</f>
        <v>77326130</v>
      </c>
      <c r="H92" s="364">
        <f t="shared" si="60"/>
        <v>2100000</v>
      </c>
      <c r="I92" s="364">
        <f t="shared" si="60"/>
        <v>750000</v>
      </c>
      <c r="J92" s="364">
        <f>J37+J49+J50+J51+J52+J53+J54+J55+J74+J83+J85+J89+J90+J62</f>
        <v>5129411</v>
      </c>
      <c r="K92" s="364">
        <f t="shared" si="60"/>
        <v>7316320</v>
      </c>
      <c r="L92" s="362">
        <f t="shared" ref="L92:L94" si="61">SUM(E92:K92)</f>
        <v>173417772</v>
      </c>
      <c r="M92" s="364">
        <f>M85+M62+M83+M54+M53+M51+M50+M40+M56</f>
        <v>434737237.87</v>
      </c>
      <c r="N92" s="364">
        <f>N83+N81+N36+N85</f>
        <v>5231394</v>
      </c>
      <c r="O92" s="364">
        <f>O83+O81+O36+O85</f>
        <v>0</v>
      </c>
      <c r="P92" s="364">
        <f>P83+P81+P36+P85</f>
        <v>0</v>
      </c>
      <c r="Q92" s="364">
        <f>146958685</f>
        <v>146958685</v>
      </c>
      <c r="R92" s="365">
        <f>R85+R83+R73+R49+R36+R69</f>
        <v>35.5</v>
      </c>
      <c r="S92" s="88"/>
      <c r="T92" s="105"/>
    </row>
    <row r="93" spans="1:20" s="27" customFormat="1" ht="12" customHeight="1" thickBot="1" x14ac:dyDescent="0.25">
      <c r="A93" s="948" t="s">
        <v>90</v>
      </c>
      <c r="B93" s="949"/>
      <c r="C93" s="949"/>
      <c r="D93" s="950"/>
      <c r="E93" s="356">
        <v>0</v>
      </c>
      <c r="F93" s="356">
        <v>0</v>
      </c>
      <c r="G93" s="356">
        <v>0</v>
      </c>
      <c r="H93" s="356">
        <v>0</v>
      </c>
      <c r="I93" s="356">
        <v>0</v>
      </c>
      <c r="J93" s="356">
        <v>0</v>
      </c>
      <c r="K93" s="356">
        <v>0</v>
      </c>
      <c r="L93" s="362">
        <f t="shared" si="61"/>
        <v>0</v>
      </c>
      <c r="M93" s="356">
        <v>0</v>
      </c>
      <c r="N93" s="356">
        <v>0</v>
      </c>
      <c r="O93" s="356">
        <v>0</v>
      </c>
      <c r="P93" s="356">
        <v>0</v>
      </c>
      <c r="Q93" s="356">
        <f>SUM(L93:P93)</f>
        <v>0</v>
      </c>
      <c r="R93" s="366">
        <v>0</v>
      </c>
      <c r="S93" s="88"/>
      <c r="T93" s="105"/>
    </row>
    <row r="94" spans="1:20" s="27" customFormat="1" ht="12" customHeight="1" thickBot="1" x14ac:dyDescent="0.25">
      <c r="A94" s="943" t="s">
        <v>84</v>
      </c>
      <c r="B94" s="944"/>
      <c r="C94" s="944"/>
      <c r="D94" s="945"/>
      <c r="E94" s="367">
        <f>E88+E75+E62+E61+E41+E86-E62</f>
        <v>1361345</v>
      </c>
      <c r="F94" s="367">
        <f t="shared" ref="F94:K94" si="62">F88+F75+F62+F61+F41+F86-F62</f>
        <v>216600</v>
      </c>
      <c r="G94" s="367">
        <f>G86+G75+G61+G60+G57</f>
        <v>7518689</v>
      </c>
      <c r="H94" s="367">
        <f t="shared" si="62"/>
        <v>0</v>
      </c>
      <c r="I94" s="367">
        <f t="shared" si="62"/>
        <v>160849</v>
      </c>
      <c r="J94" s="367">
        <f>J88+J75+J62+J61+J41+J86-J62</f>
        <v>490000</v>
      </c>
      <c r="K94" s="367">
        <f t="shared" si="62"/>
        <v>0</v>
      </c>
      <c r="L94" s="362">
        <f t="shared" si="61"/>
        <v>9747483</v>
      </c>
      <c r="M94" s="367">
        <f>M86</f>
        <v>45000</v>
      </c>
      <c r="N94" s="367">
        <f t="shared" ref="N94:P94" si="63">N90+N88</f>
        <v>0</v>
      </c>
      <c r="O94" s="367">
        <f t="shared" si="63"/>
        <v>0</v>
      </c>
      <c r="P94" s="367">
        <f t="shared" si="63"/>
        <v>0</v>
      </c>
      <c r="Q94" s="367">
        <f>L94+M94</f>
        <v>9792483</v>
      </c>
      <c r="R94" s="368">
        <f>R86</f>
        <v>1</v>
      </c>
      <c r="S94" s="289"/>
      <c r="T94" s="290"/>
    </row>
    <row r="95" spans="1:20" s="22" customFormat="1" ht="12" customHeight="1" x14ac:dyDescent="0.2">
      <c r="A95" s="954" t="s">
        <v>62</v>
      </c>
      <c r="B95" s="955"/>
      <c r="C95" s="955"/>
      <c r="D95" s="955"/>
      <c r="E95" s="955"/>
      <c r="F95" s="955"/>
      <c r="G95" s="955"/>
      <c r="H95" s="955"/>
      <c r="I95" s="955"/>
      <c r="J95" s="955"/>
      <c r="K95" s="955"/>
      <c r="L95" s="955"/>
      <c r="M95" s="955"/>
      <c r="N95" s="955"/>
      <c r="O95" s="955"/>
      <c r="P95" s="955"/>
      <c r="Q95" s="955"/>
      <c r="R95" s="955"/>
      <c r="S95" s="87"/>
      <c r="T95" s="104"/>
    </row>
    <row r="96" spans="1:20" s="22" customFormat="1" ht="24.75" customHeight="1" x14ac:dyDescent="0.2">
      <c r="A96" s="260">
        <v>19</v>
      </c>
      <c r="B96" s="261"/>
      <c r="C96" s="262" t="s">
        <v>72</v>
      </c>
      <c r="D96" s="369" t="s">
        <v>238</v>
      </c>
      <c r="E96" s="249"/>
      <c r="F96" s="249"/>
      <c r="G96" s="249"/>
      <c r="H96" s="249"/>
      <c r="I96" s="315">
        <v>155000000</v>
      </c>
      <c r="J96" s="249"/>
      <c r="K96" s="249"/>
      <c r="L96" s="249">
        <f>SUM(E96:K96)</f>
        <v>155000000</v>
      </c>
      <c r="M96" s="315"/>
      <c r="N96" s="370"/>
      <c r="O96" s="249">
        <v>0</v>
      </c>
      <c r="P96" s="249"/>
      <c r="Q96" s="250">
        <f>L96+M96+N96+O96+P96</f>
        <v>155000000</v>
      </c>
      <c r="R96" s="251">
        <v>0</v>
      </c>
      <c r="S96" s="87"/>
      <c r="T96" s="104"/>
    </row>
    <row r="97" spans="1:21" s="22" customFormat="1" ht="25.5" customHeight="1" thickBot="1" x14ac:dyDescent="0.25">
      <c r="A97" s="260">
        <v>20</v>
      </c>
      <c r="B97" s="261"/>
      <c r="C97" s="262" t="s">
        <v>72</v>
      </c>
      <c r="D97" s="371" t="s">
        <v>239</v>
      </c>
      <c r="E97" s="249"/>
      <c r="F97" s="249"/>
      <c r="G97" s="248"/>
      <c r="H97" s="249"/>
      <c r="I97" s="249"/>
      <c r="J97" s="249">
        <f>7794568+754621</f>
        <v>8549189</v>
      </c>
      <c r="K97" s="249"/>
      <c r="L97" s="249">
        <f>J97</f>
        <v>8549189</v>
      </c>
      <c r="M97" s="372"/>
      <c r="N97" s="373"/>
      <c r="O97" s="249"/>
      <c r="P97" s="249"/>
      <c r="Q97" s="250">
        <f>L97+M97+N97+O97+P97</f>
        <v>8549189</v>
      </c>
      <c r="R97" s="251"/>
      <c r="S97" s="87"/>
      <c r="T97" s="104"/>
    </row>
    <row r="98" spans="1:21" ht="36" customHeight="1" thickBot="1" x14ac:dyDescent="0.25">
      <c r="A98" s="935" t="s">
        <v>322</v>
      </c>
      <c r="B98" s="936"/>
      <c r="C98" s="936"/>
      <c r="D98" s="937"/>
      <c r="E98" s="362">
        <f>E91+E96+E97</f>
        <v>70266564</v>
      </c>
      <c r="F98" s="362">
        <f t="shared" ref="F98:K98" si="64">F91+F96+F97</f>
        <v>12107292</v>
      </c>
      <c r="G98" s="362">
        <f t="shared" si="64"/>
        <v>84844819</v>
      </c>
      <c r="H98" s="362">
        <f t="shared" si="64"/>
        <v>2100000</v>
      </c>
      <c r="I98" s="362">
        <f>I91+I97+I96</f>
        <v>155910849</v>
      </c>
      <c r="J98" s="362">
        <f>J91+J96+J97</f>
        <v>14168600</v>
      </c>
      <c r="K98" s="362">
        <f t="shared" si="64"/>
        <v>7316320</v>
      </c>
      <c r="L98" s="362">
        <f>SUM(E98:K98)</f>
        <v>346714444</v>
      </c>
      <c r="M98" s="374">
        <f>M91</f>
        <v>434782237.87</v>
      </c>
      <c r="N98" s="374">
        <v>0</v>
      </c>
      <c r="O98" s="362">
        <f t="shared" ref="O98:P98" si="65">O91+O95+O96</f>
        <v>0</v>
      </c>
      <c r="P98" s="362">
        <f t="shared" si="65"/>
        <v>0</v>
      </c>
      <c r="Q98" s="362">
        <f>SUM(L98:P98)</f>
        <v>781496681.87</v>
      </c>
      <c r="R98" s="375">
        <v>52.5</v>
      </c>
      <c r="S98" s="89"/>
      <c r="T98" s="200"/>
    </row>
    <row r="99" spans="1:21" ht="12.75" customHeight="1" thickBot="1" x14ac:dyDescent="0.25">
      <c r="A99" s="938" t="s">
        <v>149</v>
      </c>
      <c r="B99" s="939"/>
      <c r="C99" s="939"/>
      <c r="D99" s="939"/>
      <c r="E99" s="376">
        <f>E30+E91</f>
        <v>168513217</v>
      </c>
      <c r="F99" s="376">
        <f>F30+F91</f>
        <v>32215966</v>
      </c>
      <c r="G99" s="376">
        <f>G30+G91</f>
        <v>136138309</v>
      </c>
      <c r="H99" s="376">
        <f>H30+H91</f>
        <v>3919000</v>
      </c>
      <c r="I99" s="376">
        <f>I100+I102</f>
        <v>155910849</v>
      </c>
      <c r="J99" s="376">
        <f>J30+J91</f>
        <v>5619411</v>
      </c>
      <c r="K99" s="376">
        <f>K30+K91</f>
        <v>7316320</v>
      </c>
      <c r="L99" s="376">
        <f>L100+L102</f>
        <v>518182261</v>
      </c>
      <c r="M99" s="377">
        <f>M30+M98</f>
        <v>437348196.87</v>
      </c>
      <c r="N99" s="376">
        <f>N30+N98</f>
        <v>0</v>
      </c>
      <c r="O99" s="376">
        <f>O30+O98</f>
        <v>0</v>
      </c>
      <c r="P99" s="376">
        <f>P30+P98</f>
        <v>0</v>
      </c>
      <c r="Q99" s="378">
        <f>SUM(L99:P99)</f>
        <v>955530457.87</v>
      </c>
      <c r="R99" s="379">
        <f>R100+R101+R102</f>
        <v>70</v>
      </c>
      <c r="S99" s="89"/>
      <c r="T99" s="106"/>
    </row>
    <row r="100" spans="1:21" s="25" customFormat="1" ht="12.75" customHeight="1" thickBot="1" x14ac:dyDescent="0.25">
      <c r="A100" s="933" t="s">
        <v>83</v>
      </c>
      <c r="B100" s="934"/>
      <c r="C100" s="934"/>
      <c r="D100" s="934"/>
      <c r="E100" s="380">
        <f>E92+E31</f>
        <v>155310654</v>
      </c>
      <c r="F100" s="380">
        <f>F92+F31</f>
        <v>29027590</v>
      </c>
      <c r="G100" s="380">
        <f>G92+G31</f>
        <v>123767443</v>
      </c>
      <c r="H100" s="380">
        <f>H92+H31</f>
        <v>3919000</v>
      </c>
      <c r="I100" s="381">
        <f>I92+I31+I96</f>
        <v>155750000</v>
      </c>
      <c r="J100" s="382">
        <f>J92+J31+J97</f>
        <v>13678600</v>
      </c>
      <c r="K100" s="380">
        <f>K92+K31</f>
        <v>7316320</v>
      </c>
      <c r="L100" s="383">
        <f>SUM(E100:K100)</f>
        <v>488769607</v>
      </c>
      <c r="M100" s="380">
        <f>M92+M31</f>
        <v>436017284.87</v>
      </c>
      <c r="N100" s="380">
        <f>N92+N31</f>
        <v>5231394</v>
      </c>
      <c r="O100" s="380">
        <f>O92+O31</f>
        <v>0</v>
      </c>
      <c r="P100" s="380">
        <f>P92+P31</f>
        <v>0</v>
      </c>
      <c r="Q100" s="383">
        <f>L100+M100+O100+P100</f>
        <v>924786891.87</v>
      </c>
      <c r="R100" s="384">
        <f>R31+R92</f>
        <v>65.75</v>
      </c>
      <c r="S100" s="90"/>
      <c r="T100" s="107"/>
    </row>
    <row r="101" spans="1:21" s="25" customFormat="1" ht="12.75" customHeight="1" thickBot="1" x14ac:dyDescent="0.25">
      <c r="A101" s="940" t="s">
        <v>90</v>
      </c>
      <c r="B101" s="941"/>
      <c r="C101" s="941"/>
      <c r="D101" s="942"/>
      <c r="E101" s="385">
        <v>0</v>
      </c>
      <c r="F101" s="385">
        <v>0</v>
      </c>
      <c r="G101" s="385">
        <v>0</v>
      </c>
      <c r="H101" s="385">
        <v>0</v>
      </c>
      <c r="I101" s="386">
        <v>0</v>
      </c>
      <c r="J101" s="387">
        <v>0</v>
      </c>
      <c r="K101" s="380">
        <v>0</v>
      </c>
      <c r="L101" s="383">
        <f>SUM(E101:K101)</f>
        <v>0</v>
      </c>
      <c r="M101" s="388">
        <f>M93+M32</f>
        <v>0</v>
      </c>
      <c r="N101" s="389">
        <v>0</v>
      </c>
      <c r="O101" s="389">
        <v>0</v>
      </c>
      <c r="P101" s="389">
        <v>0</v>
      </c>
      <c r="Q101" s="390">
        <f>SUM(L101:P101)</f>
        <v>0</v>
      </c>
      <c r="R101" s="391">
        <v>0</v>
      </c>
      <c r="S101" s="90"/>
      <c r="T101" s="107"/>
      <c r="U101" s="85"/>
    </row>
    <row r="102" spans="1:21" s="25" customFormat="1" ht="12.75" customHeight="1" thickBot="1" x14ac:dyDescent="0.25">
      <c r="A102" s="933" t="s">
        <v>84</v>
      </c>
      <c r="B102" s="934"/>
      <c r="C102" s="934"/>
      <c r="D102" s="934"/>
      <c r="E102" s="380">
        <f t="shared" ref="E102:K102" si="66">E94+E33</f>
        <v>13202563</v>
      </c>
      <c r="F102" s="380">
        <f t="shared" si="66"/>
        <v>3188376</v>
      </c>
      <c r="G102" s="380">
        <f t="shared" si="66"/>
        <v>12370866</v>
      </c>
      <c r="H102" s="380">
        <f t="shared" si="66"/>
        <v>0</v>
      </c>
      <c r="I102" s="381">
        <f t="shared" si="66"/>
        <v>160849</v>
      </c>
      <c r="J102" s="392">
        <f t="shared" si="66"/>
        <v>490000</v>
      </c>
      <c r="K102" s="393">
        <f t="shared" si="66"/>
        <v>0</v>
      </c>
      <c r="L102" s="394">
        <f>SUM(E102:K102)+G96</f>
        <v>29412654</v>
      </c>
      <c r="M102" s="385">
        <f>M94+M33</f>
        <v>1330912</v>
      </c>
      <c r="N102" s="380">
        <f>N94+N33</f>
        <v>0</v>
      </c>
      <c r="O102" s="380">
        <f>O94+O33</f>
        <v>0</v>
      </c>
      <c r="P102" s="385">
        <f>P94+P33</f>
        <v>0</v>
      </c>
      <c r="Q102" s="395">
        <f>SUM(L102:P102)+1</f>
        <v>30743567</v>
      </c>
      <c r="R102" s="396">
        <f>R33+R94</f>
        <v>4.25</v>
      </c>
      <c r="S102" s="90"/>
      <c r="T102" s="107"/>
    </row>
    <row r="103" spans="1:21" ht="12.75" customHeight="1" x14ac:dyDescent="0.2">
      <c r="A103" s="237"/>
      <c r="M103" s="398"/>
      <c r="P103" s="398"/>
    </row>
    <row r="104" spans="1:21" ht="21" customHeight="1" x14ac:dyDescent="0.2">
      <c r="A104" s="237"/>
      <c r="E104" s="400"/>
      <c r="F104" s="400"/>
      <c r="G104" s="400"/>
      <c r="H104" s="400"/>
      <c r="I104" s="400"/>
      <c r="J104" s="400"/>
      <c r="K104" s="400"/>
      <c r="L104" s="401"/>
      <c r="M104" s="400"/>
      <c r="N104" s="400"/>
      <c r="O104" s="400"/>
      <c r="P104" s="400"/>
      <c r="Q104" s="401"/>
    </row>
    <row r="105" spans="1:21" ht="12.75" customHeight="1" x14ac:dyDescent="0.2"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1"/>
      <c r="R105" s="358"/>
    </row>
    <row r="106" spans="1:21" ht="12.75" customHeight="1" x14ac:dyDescent="0.2"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1"/>
      <c r="R106" s="358"/>
    </row>
    <row r="107" spans="1:21" ht="12.75" customHeight="1" x14ac:dyDescent="0.2">
      <c r="E107" s="400"/>
      <c r="F107" s="400"/>
      <c r="G107" s="400"/>
      <c r="H107" s="400"/>
      <c r="I107" s="400"/>
      <c r="J107" s="400"/>
      <c r="K107" s="400"/>
      <c r="L107" s="401"/>
      <c r="M107" s="400"/>
      <c r="N107" s="400"/>
      <c r="O107" s="400"/>
      <c r="P107" s="400"/>
      <c r="Q107" s="401"/>
      <c r="R107" s="358"/>
    </row>
    <row r="108" spans="1:21" ht="12.75" customHeight="1" x14ac:dyDescent="0.2">
      <c r="E108" s="400"/>
      <c r="F108" s="400"/>
      <c r="G108" s="400"/>
      <c r="H108" s="400"/>
      <c r="I108" s="400"/>
      <c r="J108" s="400"/>
      <c r="K108" s="400"/>
      <c r="L108" s="401"/>
      <c r="M108" s="400"/>
      <c r="N108" s="400"/>
      <c r="O108" s="400"/>
      <c r="P108" s="400"/>
      <c r="Q108" s="401"/>
      <c r="R108" s="402"/>
    </row>
    <row r="109" spans="1:21" ht="12.75" customHeight="1" x14ac:dyDescent="0.2"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P109" s="400"/>
      <c r="Q109" s="401"/>
      <c r="R109" s="358"/>
    </row>
    <row r="110" spans="1:21" ht="12.75" customHeight="1" x14ac:dyDescent="0.2"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1"/>
      <c r="R110" s="358"/>
    </row>
    <row r="111" spans="1:21" ht="12.75" customHeight="1" x14ac:dyDescent="0.2">
      <c r="E111" s="400"/>
      <c r="F111" s="400"/>
      <c r="G111" s="400"/>
      <c r="H111" s="400"/>
      <c r="I111" s="400"/>
      <c r="J111" s="400"/>
      <c r="K111" s="400"/>
      <c r="L111" s="401"/>
      <c r="M111" s="400"/>
      <c r="N111" s="400"/>
      <c r="O111" s="400"/>
      <c r="P111" s="400"/>
      <c r="Q111" s="401"/>
      <c r="R111" s="402"/>
    </row>
    <row r="112" spans="1:21" ht="12.75" customHeight="1" x14ac:dyDescent="0.2">
      <c r="E112" s="400"/>
      <c r="F112" s="400"/>
      <c r="G112" s="400"/>
      <c r="H112" s="400"/>
      <c r="I112" s="400"/>
      <c r="J112" s="400"/>
      <c r="K112" s="400"/>
      <c r="L112" s="401"/>
      <c r="M112" s="400"/>
      <c r="N112" s="400"/>
      <c r="O112" s="400"/>
      <c r="P112" s="400"/>
      <c r="Q112" s="401"/>
      <c r="R112" s="358"/>
    </row>
    <row r="113" spans="18:18" ht="12.75" customHeight="1" x14ac:dyDescent="0.2">
      <c r="R113" s="358"/>
    </row>
    <row r="114" spans="18:18" ht="12.75" customHeight="1" x14ac:dyDescent="0.2">
      <c r="R114" s="403"/>
    </row>
    <row r="115" spans="18:18" ht="12.75" customHeight="1" x14ac:dyDescent="0.2">
      <c r="R115" s="358"/>
    </row>
    <row r="116" spans="18:18" ht="12.75" customHeight="1" x14ac:dyDescent="0.2">
      <c r="R116" s="358"/>
    </row>
    <row r="117" spans="18:18" ht="12.75" customHeight="1" x14ac:dyDescent="0.2">
      <c r="R117" s="358"/>
    </row>
    <row r="118" spans="18:18" ht="12.75" customHeight="1" x14ac:dyDescent="0.2">
      <c r="R118" s="403"/>
    </row>
    <row r="119" spans="18:18" ht="12.75" customHeight="1" x14ac:dyDescent="0.2">
      <c r="R119" s="358"/>
    </row>
    <row r="120" spans="18:18" ht="12.75" customHeight="1" x14ac:dyDescent="0.2">
      <c r="R120" s="402"/>
    </row>
    <row r="121" spans="18:18" ht="12.75" customHeight="1" x14ac:dyDescent="0.2">
      <c r="R121" s="402"/>
    </row>
    <row r="273" spans="7:7" ht="12.75" customHeight="1" x14ac:dyDescent="0.2">
      <c r="G273" s="358">
        <f>'5 kiadások'!N405231</f>
        <v>0</v>
      </c>
    </row>
  </sheetData>
  <sortState ref="D51:R59">
    <sortCondition ref="D51"/>
  </sortState>
  <mergeCells count="27">
    <mergeCell ref="I6:I7"/>
    <mergeCell ref="A102:D102"/>
    <mergeCell ref="A98:D98"/>
    <mergeCell ref="A99:D99"/>
    <mergeCell ref="A101:D101"/>
    <mergeCell ref="A100:D100"/>
    <mergeCell ref="A94:D94"/>
    <mergeCell ref="A91:D91"/>
    <mergeCell ref="A93:D93"/>
    <mergeCell ref="A92:D92"/>
    <mergeCell ref="A95:R95"/>
    <mergeCell ref="N1:R1"/>
    <mergeCell ref="A31:D31"/>
    <mergeCell ref="A33:D33"/>
    <mergeCell ref="A6:B6"/>
    <mergeCell ref="C5:C7"/>
    <mergeCell ref="A30:D30"/>
    <mergeCell ref="N5:P5"/>
    <mergeCell ref="N6:N7"/>
    <mergeCell ref="I5:K5"/>
    <mergeCell ref="A5:B5"/>
    <mergeCell ref="A7:B7"/>
    <mergeCell ref="K6:K7"/>
    <mergeCell ref="P6:P7"/>
    <mergeCell ref="J6:J7"/>
    <mergeCell ref="O6:O7"/>
    <mergeCell ref="A32:D32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84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view="pageBreakPreview" topLeftCell="A13" zoomScaleSheetLayoutView="100" workbookViewId="0">
      <selection activeCell="D23" sqref="D23"/>
    </sheetView>
  </sheetViews>
  <sheetFormatPr defaultRowHeight="12" customHeight="1" x14ac:dyDescent="0.2"/>
  <cols>
    <col min="1" max="1" width="3.28515625" style="100" customWidth="1"/>
    <col min="2" max="2" width="3.140625" style="273" customWidth="1"/>
    <col min="3" max="3" width="91.28515625" style="274" customWidth="1"/>
    <col min="4" max="4" width="14.42578125" style="14" customWidth="1"/>
    <col min="5" max="5" width="10.7109375" style="14" customWidth="1"/>
    <col min="6" max="6" width="17.85546875" style="14" customWidth="1"/>
    <col min="7" max="16384" width="9.140625" style="14"/>
  </cols>
  <sheetData>
    <row r="1" spans="1:6" ht="12" customHeight="1" x14ac:dyDescent="0.2">
      <c r="C1" s="455"/>
    </row>
    <row r="3" spans="1:6" ht="30" customHeight="1" x14ac:dyDescent="0.2"/>
    <row r="4" spans="1:6" ht="16.5" customHeight="1" thickBot="1" x14ac:dyDescent="0.25"/>
    <row r="5" spans="1:6" s="15" customFormat="1" ht="18.75" customHeight="1" x14ac:dyDescent="0.2">
      <c r="A5" s="960"/>
      <c r="B5" s="961"/>
      <c r="C5" s="961"/>
      <c r="D5" s="961"/>
    </row>
    <row r="6" spans="1:6" s="16" customFormat="1" ht="12.75" customHeight="1" x14ac:dyDescent="0.2">
      <c r="A6" s="962"/>
      <c r="B6" s="963"/>
      <c r="C6" s="963"/>
      <c r="D6" s="963"/>
    </row>
    <row r="7" spans="1:6" s="16" customFormat="1" ht="8.25" customHeight="1" x14ac:dyDescent="0.2">
      <c r="A7" s="962"/>
      <c r="B7" s="963"/>
      <c r="C7" s="963"/>
      <c r="D7" s="963"/>
    </row>
    <row r="8" spans="1:6" s="15" customFormat="1" ht="15" customHeight="1" thickBot="1" x14ac:dyDescent="0.25">
      <c r="A8" s="962"/>
      <c r="B8" s="963"/>
      <c r="C8" s="963"/>
      <c r="D8" s="963"/>
      <c r="E8" s="226"/>
    </row>
    <row r="9" spans="1:6" s="15" customFormat="1" ht="15" customHeight="1" x14ac:dyDescent="0.2">
      <c r="A9" s="964" t="s">
        <v>27</v>
      </c>
      <c r="B9" s="965"/>
      <c r="C9" s="966"/>
      <c r="D9" s="486" t="s">
        <v>349</v>
      </c>
      <c r="E9" s="226"/>
    </row>
    <row r="10" spans="1:6" s="15" customFormat="1" ht="15" customHeight="1" x14ac:dyDescent="0.2">
      <c r="A10" s="487" t="s">
        <v>33</v>
      </c>
      <c r="B10" s="488"/>
      <c r="C10" s="489" t="s">
        <v>36</v>
      </c>
      <c r="D10" s="490">
        <f>D12+D48</f>
        <v>287622599.10000002</v>
      </c>
      <c r="F10" s="320"/>
    </row>
    <row r="11" spans="1:6" s="15" customFormat="1" ht="15" customHeight="1" x14ac:dyDescent="0.2">
      <c r="A11" s="491"/>
      <c r="B11" s="492"/>
      <c r="C11" s="493"/>
      <c r="D11" s="494"/>
      <c r="E11" s="320"/>
    </row>
    <row r="12" spans="1:6" s="15" customFormat="1" ht="15" customHeight="1" x14ac:dyDescent="0.2">
      <c r="A12" s="495"/>
      <c r="B12" s="496" t="s">
        <v>15</v>
      </c>
      <c r="C12" s="497" t="s">
        <v>88</v>
      </c>
      <c r="D12" s="498">
        <f t="shared" ref="D12" si="0">D13+D36+D41+D45</f>
        <v>47446196.100000001</v>
      </c>
      <c r="E12" s="320"/>
    </row>
    <row r="13" spans="1:6" s="15" customFormat="1" ht="15" customHeight="1" x14ac:dyDescent="0.2">
      <c r="A13" s="495"/>
      <c r="B13" s="496"/>
      <c r="C13" s="499" t="s">
        <v>350</v>
      </c>
      <c r="D13" s="500">
        <f>D14+D17+D18+D23+D25+D31+D32+D33+D34+D35</f>
        <v>44880237.100000001</v>
      </c>
    </row>
    <row r="14" spans="1:6" s="15" customFormat="1" ht="15" customHeight="1" x14ac:dyDescent="0.2">
      <c r="A14" s="495"/>
      <c r="B14" s="496"/>
      <c r="C14" s="501" t="s">
        <v>351</v>
      </c>
      <c r="D14" s="503">
        <f>D15+D16</f>
        <v>890840.23</v>
      </c>
      <c r="E14" s="320"/>
      <c r="F14" s="320"/>
    </row>
    <row r="15" spans="1:6" s="15" customFormat="1" ht="15" customHeight="1" x14ac:dyDescent="0.2">
      <c r="A15" s="495"/>
      <c r="B15" s="496"/>
      <c r="C15" s="504" t="s">
        <v>352</v>
      </c>
      <c r="D15" s="505">
        <f>95150*1.27</f>
        <v>120840.5</v>
      </c>
    </row>
    <row r="16" spans="1:6" s="15" customFormat="1" ht="15" customHeight="1" x14ac:dyDescent="0.2">
      <c r="A16" s="495"/>
      <c r="B16" s="496"/>
      <c r="C16" s="504" t="s">
        <v>353</v>
      </c>
      <c r="D16" s="505">
        <f>606299*1.27</f>
        <v>769999.73</v>
      </c>
      <c r="F16" s="320"/>
    </row>
    <row r="17" spans="1:5" s="15" customFormat="1" ht="15" customHeight="1" x14ac:dyDescent="0.2">
      <c r="A17" s="495"/>
      <c r="B17" s="496"/>
      <c r="C17" s="501" t="s">
        <v>354</v>
      </c>
      <c r="D17" s="503">
        <f>1819667+(30570888)-741020+711363+30000</f>
        <v>32390898</v>
      </c>
    </row>
    <row r="18" spans="1:5" s="15" customFormat="1" ht="15" customHeight="1" x14ac:dyDescent="0.2">
      <c r="A18" s="495"/>
      <c r="B18" s="496"/>
      <c r="C18" s="501" t="s">
        <v>355</v>
      </c>
      <c r="D18" s="503">
        <f>SUM(D19:D22)</f>
        <v>7461921</v>
      </c>
    </row>
    <row r="19" spans="1:5" s="17" customFormat="1" ht="12.75" x14ac:dyDescent="0.2">
      <c r="A19" s="495"/>
      <c r="B19" s="496"/>
      <c r="C19" s="507" t="s">
        <v>328</v>
      </c>
      <c r="D19" s="508">
        <v>3000000</v>
      </c>
    </row>
    <row r="20" spans="1:5" s="17" customFormat="1" ht="12.75" x14ac:dyDescent="0.2">
      <c r="A20" s="495"/>
      <c r="B20" s="496"/>
      <c r="C20" s="507" t="s">
        <v>334</v>
      </c>
      <c r="D20" s="508">
        <v>1000000</v>
      </c>
    </row>
    <row r="21" spans="1:5" s="17" customFormat="1" ht="12.75" x14ac:dyDescent="0.2">
      <c r="A21" s="495"/>
      <c r="B21" s="496"/>
      <c r="C21" s="507" t="s">
        <v>331</v>
      </c>
      <c r="D21" s="508">
        <v>2300000</v>
      </c>
    </row>
    <row r="22" spans="1:5" s="17" customFormat="1" ht="12.75" x14ac:dyDescent="0.2">
      <c r="A22" s="495"/>
      <c r="B22" s="496"/>
      <c r="C22" s="507" t="s">
        <v>356</v>
      </c>
      <c r="D22" s="508">
        <f>421100+199445+541376</f>
        <v>1161921</v>
      </c>
      <c r="E22" s="222"/>
    </row>
    <row r="23" spans="1:5" s="17" customFormat="1" ht="12.75" x14ac:dyDescent="0.2">
      <c r="A23" s="495"/>
      <c r="B23" s="496"/>
      <c r="C23" s="501" t="s">
        <v>357</v>
      </c>
      <c r="D23" s="502">
        <f t="shared" ref="D23" si="1">D24</f>
        <v>700000</v>
      </c>
      <c r="E23" s="222"/>
    </row>
    <row r="24" spans="1:5" s="17" customFormat="1" ht="12.75" x14ac:dyDescent="0.2">
      <c r="A24" s="495"/>
      <c r="B24" s="496"/>
      <c r="C24" s="507" t="s">
        <v>358</v>
      </c>
      <c r="D24" s="508">
        <v>700000</v>
      </c>
      <c r="E24" s="222"/>
    </row>
    <row r="25" spans="1:5" s="17" customFormat="1" ht="12.75" x14ac:dyDescent="0.2">
      <c r="A25" s="509"/>
      <c r="B25" s="510"/>
      <c r="C25" s="501" t="s">
        <v>315</v>
      </c>
      <c r="D25" s="502">
        <f>D26+D27+D28+D29+D30</f>
        <v>602098</v>
      </c>
      <c r="E25" s="222"/>
    </row>
    <row r="26" spans="1:5" s="17" customFormat="1" ht="12.75" x14ac:dyDescent="0.2">
      <c r="A26" s="495"/>
      <c r="B26" s="496"/>
      <c r="C26" s="507" t="s">
        <v>359</v>
      </c>
      <c r="D26" s="511">
        <f>90079+24321</f>
        <v>114400</v>
      </c>
    </row>
    <row r="27" spans="1:5" s="17" customFormat="1" ht="12.75" x14ac:dyDescent="0.2">
      <c r="A27" s="495"/>
      <c r="B27" s="496"/>
      <c r="C27" s="507" t="s">
        <v>360</v>
      </c>
      <c r="D27" s="512">
        <f>76517-2</f>
        <v>76515</v>
      </c>
    </row>
    <row r="28" spans="1:5" s="244" customFormat="1" ht="12.75" x14ac:dyDescent="0.2">
      <c r="A28" s="495"/>
      <c r="B28" s="496"/>
      <c r="C28" s="507" t="s">
        <v>361</v>
      </c>
      <c r="D28" s="512">
        <f>153465+41435</f>
        <v>194900</v>
      </c>
    </row>
    <row r="29" spans="1:5" s="244" customFormat="1" ht="12.75" x14ac:dyDescent="0.2">
      <c r="A29" s="495"/>
      <c r="B29" s="496"/>
      <c r="C29" s="507" t="s">
        <v>362</v>
      </c>
      <c r="D29" s="512">
        <f>10842+2927</f>
        <v>13769</v>
      </c>
    </row>
    <row r="30" spans="1:5" s="244" customFormat="1" ht="12.75" x14ac:dyDescent="0.2">
      <c r="A30" s="495"/>
      <c r="B30" s="496"/>
      <c r="C30" s="507" t="s">
        <v>363</v>
      </c>
      <c r="D30" s="512">
        <f>159460+43054</f>
        <v>202514</v>
      </c>
    </row>
    <row r="31" spans="1:5" s="244" customFormat="1" ht="12.75" x14ac:dyDescent="0.2">
      <c r="A31" s="495"/>
      <c r="B31" s="510"/>
      <c r="C31" s="501" t="s">
        <v>364</v>
      </c>
      <c r="D31" s="503">
        <f>220000+199</f>
        <v>220199</v>
      </c>
    </row>
    <row r="32" spans="1:5" s="17" customFormat="1" ht="12.75" x14ac:dyDescent="0.2">
      <c r="A32" s="509"/>
      <c r="B32" s="510"/>
      <c r="C32" s="501" t="s">
        <v>365</v>
      </c>
      <c r="D32" s="503">
        <v>45000</v>
      </c>
    </row>
    <row r="33" spans="1:5" s="17" customFormat="1" ht="12.75" x14ac:dyDescent="0.2">
      <c r="A33" s="509"/>
      <c r="B33" s="510"/>
      <c r="C33" s="501" t="s">
        <v>366</v>
      </c>
      <c r="D33" s="503">
        <f>125181*1.27</f>
        <v>158979.87</v>
      </c>
    </row>
    <row r="34" spans="1:5" s="201" customFormat="1" ht="18" customHeight="1" thickBot="1" x14ac:dyDescent="0.25">
      <c r="A34" s="509"/>
      <c r="B34" s="513"/>
      <c r="C34" s="514" t="s">
        <v>65</v>
      </c>
      <c r="D34" s="515">
        <v>1435538</v>
      </c>
    </row>
    <row r="35" spans="1:5" s="17" customFormat="1" ht="18" customHeight="1" x14ac:dyDescent="0.2">
      <c r="A35" s="509"/>
      <c r="B35" s="513"/>
      <c r="C35" s="514" t="s">
        <v>367</v>
      </c>
      <c r="D35" s="515">
        <v>974763</v>
      </c>
    </row>
    <row r="36" spans="1:5" s="17" customFormat="1" ht="13.5" customHeight="1" x14ac:dyDescent="0.2">
      <c r="A36" s="495"/>
      <c r="B36" s="516"/>
      <c r="C36" s="517" t="s">
        <v>231</v>
      </c>
      <c r="D36" s="518">
        <f t="shared" ref="D36" si="2">D37</f>
        <v>1665959</v>
      </c>
    </row>
    <row r="37" spans="1:5" s="17" customFormat="1" ht="13.5" customHeight="1" x14ac:dyDescent="0.2">
      <c r="A37" s="495"/>
      <c r="B37" s="516"/>
      <c r="C37" s="519" t="s">
        <v>310</v>
      </c>
      <c r="D37" s="520">
        <f>D38+D39+D40</f>
        <v>1665959</v>
      </c>
    </row>
    <row r="38" spans="1:5" s="17" customFormat="1" ht="12" customHeight="1" x14ac:dyDescent="0.2">
      <c r="A38" s="495"/>
      <c r="B38" s="516"/>
      <c r="C38" s="519" t="s">
        <v>368</v>
      </c>
      <c r="D38" s="520">
        <v>43637</v>
      </c>
    </row>
    <row r="39" spans="1:5" s="17" customFormat="1" ht="12.75" customHeight="1" x14ac:dyDescent="0.2">
      <c r="A39" s="495"/>
      <c r="B39" s="516"/>
      <c r="C39" s="519" t="s">
        <v>369</v>
      </c>
      <c r="D39" s="520">
        <v>1166988</v>
      </c>
    </row>
    <row r="40" spans="1:5" s="17" customFormat="1" ht="15.75" customHeight="1" x14ac:dyDescent="0.2">
      <c r="A40" s="495"/>
      <c r="B40" s="516"/>
      <c r="C40" s="519" t="s">
        <v>370</v>
      </c>
      <c r="D40" s="520">
        <f>1665959-D39-D38</f>
        <v>455334</v>
      </c>
    </row>
    <row r="41" spans="1:5" s="17" customFormat="1" ht="15.75" customHeight="1" x14ac:dyDescent="0.2">
      <c r="A41" s="495"/>
      <c r="B41" s="516"/>
      <c r="C41" s="555" t="s">
        <v>257</v>
      </c>
      <c r="D41" s="556">
        <f>D42+D44</f>
        <v>823900</v>
      </c>
    </row>
    <row r="42" spans="1:5" s="17" customFormat="1" ht="15.75" customHeight="1" x14ac:dyDescent="0.2">
      <c r="A42" s="495"/>
      <c r="B42" s="516"/>
      <c r="C42" s="522" t="s">
        <v>318</v>
      </c>
      <c r="D42" s="521">
        <f>288000-D43+160370</f>
        <v>243900</v>
      </c>
    </row>
    <row r="43" spans="1:5" s="17" customFormat="1" ht="15.75" customHeight="1" x14ac:dyDescent="0.2">
      <c r="A43" s="495"/>
      <c r="B43" s="516"/>
      <c r="C43" s="519" t="s">
        <v>324</v>
      </c>
      <c r="D43" s="521">
        <f>161000*1.27</f>
        <v>204470</v>
      </c>
    </row>
    <row r="44" spans="1:5" s="17" customFormat="1" ht="15.75" customHeight="1" x14ac:dyDescent="0.2">
      <c r="A44" s="495"/>
      <c r="B44" s="516"/>
      <c r="C44" s="519" t="s">
        <v>330</v>
      </c>
      <c r="D44" s="521">
        <v>580000</v>
      </c>
    </row>
    <row r="45" spans="1:5" s="17" customFormat="1" ht="15.75" customHeight="1" x14ac:dyDescent="0.2">
      <c r="A45" s="495"/>
      <c r="B45" s="516"/>
      <c r="C45" s="523" t="s">
        <v>232</v>
      </c>
      <c r="D45" s="524">
        <f t="shared" ref="D45" si="3">D46</f>
        <v>76100</v>
      </c>
    </row>
    <row r="46" spans="1:5" s="244" customFormat="1" ht="12" customHeight="1" x14ac:dyDescent="0.2">
      <c r="A46" s="495"/>
      <c r="B46" s="516"/>
      <c r="C46" s="519" t="s">
        <v>371</v>
      </c>
      <c r="D46" s="520">
        <v>76100</v>
      </c>
    </row>
    <row r="47" spans="1:5" s="17" customFormat="1" ht="14.25" customHeight="1" x14ac:dyDescent="0.2">
      <c r="A47" s="525"/>
      <c r="B47" s="526" t="s">
        <v>16</v>
      </c>
      <c r="C47" s="527" t="s">
        <v>85</v>
      </c>
      <c r="D47" s="528">
        <f>D48+D59</f>
        <v>389902001</v>
      </c>
    </row>
    <row r="48" spans="1:5" s="17" customFormat="1" ht="14.25" customHeight="1" x14ac:dyDescent="0.2">
      <c r="A48" s="529"/>
      <c r="B48" s="530">
        <v>1</v>
      </c>
      <c r="C48" s="489" t="s">
        <v>259</v>
      </c>
      <c r="D48" s="490">
        <f>D49+D55+D57+D52+D53+D56</f>
        <v>240176403</v>
      </c>
      <c r="E48" s="221"/>
    </row>
    <row r="49" spans="1:6" s="28" customFormat="1" ht="14.25" customHeight="1" x14ac:dyDescent="0.2">
      <c r="A49" s="495"/>
      <c r="B49" s="496"/>
      <c r="C49" s="514" t="s">
        <v>312</v>
      </c>
      <c r="D49" s="506">
        <v>71755290</v>
      </c>
    </row>
    <row r="50" spans="1:6" s="28" customFormat="1" ht="14.25" customHeight="1" x14ac:dyDescent="0.2">
      <c r="A50" s="495"/>
      <c r="B50" s="496"/>
      <c r="C50" s="519" t="s">
        <v>313</v>
      </c>
      <c r="D50" s="520">
        <f>65532000+2531050</f>
        <v>68063050</v>
      </c>
    </row>
    <row r="51" spans="1:6" s="17" customFormat="1" ht="11.25" customHeight="1" x14ac:dyDescent="0.2">
      <c r="A51" s="495"/>
      <c r="B51" s="496"/>
      <c r="C51" s="519" t="s">
        <v>314</v>
      </c>
      <c r="D51" s="520">
        <v>3692240</v>
      </c>
    </row>
    <row r="52" spans="1:6" s="28" customFormat="1" ht="21" customHeight="1" x14ac:dyDescent="0.2">
      <c r="A52" s="495"/>
      <c r="B52" s="496"/>
      <c r="C52" s="531" t="s">
        <v>291</v>
      </c>
      <c r="D52" s="506">
        <v>134777466</v>
      </c>
      <c r="E52" s="225"/>
      <c r="F52" s="225"/>
    </row>
    <row r="53" spans="1:6" s="28" customFormat="1" ht="21" customHeight="1" x14ac:dyDescent="0.2">
      <c r="A53" s="495"/>
      <c r="B53" s="496"/>
      <c r="C53" s="531" t="s">
        <v>298</v>
      </c>
      <c r="D53" s="506">
        <f>D54</f>
        <v>10740000</v>
      </c>
      <c r="E53" s="225"/>
      <c r="F53" s="225"/>
    </row>
    <row r="54" spans="1:6" s="28" customFormat="1" ht="21" customHeight="1" x14ac:dyDescent="0.2">
      <c r="A54" s="495"/>
      <c r="B54" s="492"/>
      <c r="C54" s="519" t="s">
        <v>299</v>
      </c>
      <c r="D54" s="520">
        <v>10740000</v>
      </c>
    </row>
    <row r="55" spans="1:6" s="267" customFormat="1" ht="21" customHeight="1" x14ac:dyDescent="0.2">
      <c r="A55" s="495"/>
      <c r="B55" s="492"/>
      <c r="C55" s="532" t="s">
        <v>316</v>
      </c>
      <c r="D55" s="506">
        <v>8769066</v>
      </c>
      <c r="E55" s="268"/>
      <c r="F55" s="268"/>
    </row>
    <row r="56" spans="1:6" s="267" customFormat="1" ht="21" customHeight="1" x14ac:dyDescent="0.2">
      <c r="A56" s="495"/>
      <c r="B56" s="492"/>
      <c r="C56" s="532" t="s">
        <v>372</v>
      </c>
      <c r="D56" s="506">
        <v>750000</v>
      </c>
      <c r="E56" s="268"/>
      <c r="F56" s="268"/>
    </row>
    <row r="57" spans="1:6" s="17" customFormat="1" ht="14.25" customHeight="1" x14ac:dyDescent="0.2">
      <c r="A57" s="495"/>
      <c r="B57" s="492"/>
      <c r="C57" s="533" t="s">
        <v>373</v>
      </c>
      <c r="D57" s="506">
        <v>13384581</v>
      </c>
    </row>
    <row r="58" spans="1:6" s="17" customFormat="1" ht="13.5" customHeight="1" x14ac:dyDescent="0.2">
      <c r="A58" s="495"/>
      <c r="B58" s="492"/>
      <c r="C58" s="533" t="s">
        <v>347</v>
      </c>
      <c r="D58" s="506">
        <v>974763</v>
      </c>
    </row>
    <row r="59" spans="1:6" s="17" customFormat="1" ht="14.25" customHeight="1" x14ac:dyDescent="0.2">
      <c r="A59" s="487" t="s">
        <v>34</v>
      </c>
      <c r="B59" s="488"/>
      <c r="C59" s="489" t="s">
        <v>61</v>
      </c>
      <c r="D59" s="534">
        <f>D60+D63</f>
        <v>149725598</v>
      </c>
    </row>
    <row r="60" spans="1:6" s="17" customFormat="1" ht="17.25" customHeight="1" x14ac:dyDescent="0.2">
      <c r="A60" s="535"/>
      <c r="B60" s="510" t="s">
        <v>15</v>
      </c>
      <c r="C60" s="501" t="s">
        <v>88</v>
      </c>
      <c r="D60" s="502">
        <f t="shared" ref="D60" si="4">D61</f>
        <v>15000000</v>
      </c>
    </row>
    <row r="61" spans="1:6" s="28" customFormat="1" ht="25.5" customHeight="1" x14ac:dyDescent="0.2">
      <c r="A61" s="491"/>
      <c r="B61" s="492"/>
      <c r="C61" s="519" t="s">
        <v>374</v>
      </c>
      <c r="D61" s="536">
        <v>15000000</v>
      </c>
    </row>
    <row r="62" spans="1:6" s="17" customFormat="1" ht="18.75" customHeight="1" x14ac:dyDescent="0.2">
      <c r="A62" s="491"/>
      <c r="B62" s="492"/>
      <c r="C62" s="537" t="s">
        <v>375</v>
      </c>
      <c r="D62" s="508"/>
    </row>
    <row r="63" spans="1:6" s="17" customFormat="1" ht="12.75" customHeight="1" x14ac:dyDescent="0.2">
      <c r="A63" s="491"/>
      <c r="B63" s="496" t="s">
        <v>16</v>
      </c>
      <c r="C63" s="538" t="s">
        <v>85</v>
      </c>
      <c r="D63" s="494">
        <f>D64+D65+D62</f>
        <v>134725598</v>
      </c>
    </row>
    <row r="64" spans="1:6" s="17" customFormat="1" ht="17.25" customHeight="1" x14ac:dyDescent="0.2">
      <c r="A64" s="491"/>
      <c r="B64" s="496">
        <v>1</v>
      </c>
      <c r="C64" s="539" t="s">
        <v>298</v>
      </c>
      <c r="D64" s="520">
        <f>39336500-835084</f>
        <v>38501416</v>
      </c>
    </row>
    <row r="65" spans="1:5" ht="14.25" customHeight="1" x14ac:dyDescent="0.2">
      <c r="A65" s="491"/>
      <c r="B65" s="492">
        <v>2</v>
      </c>
      <c r="C65" s="537" t="s">
        <v>290</v>
      </c>
      <c r="D65" s="508">
        <v>96224182</v>
      </c>
    </row>
    <row r="66" spans="1:5" ht="14.25" customHeight="1" x14ac:dyDescent="0.2">
      <c r="A66" s="967" t="s">
        <v>376</v>
      </c>
      <c r="B66" s="968"/>
      <c r="C66" s="968"/>
      <c r="D66" s="540">
        <f t="shared" ref="D66" si="5">D59+D48</f>
        <v>389902001</v>
      </c>
    </row>
    <row r="67" spans="1:5" ht="14.25" customHeight="1" x14ac:dyDescent="0.2">
      <c r="A67" s="495"/>
      <c r="B67" s="492"/>
      <c r="C67" s="541"/>
      <c r="D67" s="542"/>
      <c r="E67" s="318"/>
    </row>
    <row r="68" spans="1:5" ht="12" customHeight="1" x14ac:dyDescent="0.2">
      <c r="A68" s="491" t="s">
        <v>38</v>
      </c>
      <c r="B68" s="492"/>
      <c r="C68" s="493" t="s">
        <v>194</v>
      </c>
      <c r="D68" s="494">
        <f>D70+D72</f>
        <v>0</v>
      </c>
    </row>
    <row r="69" spans="1:5" ht="12" customHeight="1" x14ac:dyDescent="0.2">
      <c r="A69" s="491"/>
      <c r="B69" s="492"/>
      <c r="C69" s="493"/>
      <c r="D69" s="520"/>
    </row>
    <row r="70" spans="1:5" ht="12" customHeight="1" x14ac:dyDescent="0.2">
      <c r="A70" s="491"/>
      <c r="B70" s="496" t="s">
        <v>15</v>
      </c>
      <c r="C70" s="538" t="s">
        <v>86</v>
      </c>
      <c r="D70" s="494">
        <f>D71</f>
        <v>0</v>
      </c>
    </row>
    <row r="71" spans="1:5" ht="12" customHeight="1" x14ac:dyDescent="0.2">
      <c r="A71" s="495"/>
      <c r="B71" s="543" t="s">
        <v>345</v>
      </c>
      <c r="C71" s="544"/>
      <c r="D71" s="520"/>
    </row>
    <row r="72" spans="1:5" ht="12" customHeight="1" x14ac:dyDescent="0.2">
      <c r="A72" s="495"/>
      <c r="B72" s="545" t="s">
        <v>16</v>
      </c>
      <c r="C72" s="497" t="s">
        <v>102</v>
      </c>
      <c r="D72" s="494">
        <f>+D74</f>
        <v>0</v>
      </c>
    </row>
    <row r="73" spans="1:5" ht="12" customHeight="1" x14ac:dyDescent="0.2">
      <c r="A73" s="495"/>
      <c r="B73" s="545">
        <v>1</v>
      </c>
      <c r="C73" s="546"/>
      <c r="D73" s="547"/>
    </row>
    <row r="74" spans="1:5" ht="12" customHeight="1" x14ac:dyDescent="0.2">
      <c r="A74" s="495"/>
      <c r="B74" s="543"/>
      <c r="C74" s="544"/>
      <c r="D74" s="520"/>
    </row>
    <row r="75" spans="1:5" ht="12" customHeight="1" x14ac:dyDescent="0.2">
      <c r="A75" s="956" t="s">
        <v>58</v>
      </c>
      <c r="B75" s="957"/>
      <c r="C75" s="957"/>
      <c r="D75" s="548">
        <f>D68</f>
        <v>0</v>
      </c>
    </row>
    <row r="76" spans="1:5" ht="12" customHeight="1" x14ac:dyDescent="0.2">
      <c r="A76" s="549"/>
      <c r="B76" s="550"/>
      <c r="C76" s="551" t="s">
        <v>195</v>
      </c>
      <c r="D76" s="958">
        <f>D59+D10</f>
        <v>437348197.10000002</v>
      </c>
      <c r="E76" s="319"/>
    </row>
    <row r="77" spans="1:5" ht="12" customHeight="1" thickBot="1" x14ac:dyDescent="0.25">
      <c r="A77" s="552"/>
      <c r="B77" s="553"/>
      <c r="C77" s="554" t="s">
        <v>196</v>
      </c>
      <c r="D77" s="959"/>
    </row>
  </sheetData>
  <mergeCells count="5">
    <mergeCell ref="A75:C75"/>
    <mergeCell ref="D76:D77"/>
    <mergeCell ref="A5:D8"/>
    <mergeCell ref="A9:C9"/>
    <mergeCell ref="A66:C66"/>
  </mergeCells>
  <phoneticPr fontId="41" type="noConversion"/>
  <printOptions horizontalCentered="1" verticalCentered="1"/>
  <pageMargins left="0.78740157480314965" right="0.78740157480314965" top="0.59055118110236227" bottom="0.39370078740157483" header="0.51181102362204722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10</vt:i4>
      </vt:variant>
    </vt:vector>
  </HeadingPairs>
  <TitlesOfParts>
    <vt:vector size="16" baseType="lpstr">
      <vt:lpstr>1 ei felhaszn</vt:lpstr>
      <vt:lpstr>2 mérleg</vt:lpstr>
      <vt:lpstr>3 bevételek</vt:lpstr>
      <vt:lpstr>4 int-i bevételek </vt:lpstr>
      <vt:lpstr>5 kiadások</vt:lpstr>
      <vt:lpstr>6 beruházások</vt:lpstr>
      <vt:lpstr>'3 bevételek'!Nyomtatási_cím</vt:lpstr>
      <vt:lpstr>'4 int-i bevételek '!Nyomtatási_cím</vt:lpstr>
      <vt:lpstr>'5 kiadások'!Nyomtatási_cím</vt:lpstr>
      <vt:lpstr>'6 beruházások'!Nyomtatási_cím</vt:lpstr>
      <vt:lpstr>'1 ei felhaszn'!Nyomtatási_terület</vt:lpstr>
      <vt:lpstr>'2 mérleg'!Nyomtatási_terület</vt:lpstr>
      <vt:lpstr>'3 bevételek'!Nyomtatási_terület</vt:lpstr>
      <vt:lpstr>'4 int-i bevételek '!Nyomtatási_terület</vt:lpstr>
      <vt:lpstr>'5 kiadások'!Nyomtatási_terület</vt:lpstr>
      <vt:lpstr>'6 beruházások'!Nyomtatási_terület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Boldoczki</dc:creator>
  <cp:lastModifiedBy>lenovo</cp:lastModifiedBy>
  <cp:lastPrinted>2018-11-21T08:35:01Z</cp:lastPrinted>
  <dcterms:created xsi:type="dcterms:W3CDTF">2006-02-08T00:02:41Z</dcterms:created>
  <dcterms:modified xsi:type="dcterms:W3CDTF">2019-05-24T12:16:51Z</dcterms:modified>
</cp:coreProperties>
</file>