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sengőd Zsuzsától\Csengőd\Képviselő-testületi ülés\2019-05-28\"/>
    </mc:Choice>
  </mc:AlternateContent>
  <bookViews>
    <workbookView xWindow="-120" yWindow="-120" windowWidth="29040" windowHeight="15840" tabRatio="932" firstSheet="2" activeTab="4"/>
  </bookViews>
  <sheets>
    <sheet name="1. pénzkészlet" sheetId="66" r:id="rId1"/>
    <sheet name="2 mérleg" sheetId="2" r:id="rId2"/>
    <sheet name="3 bevételek" sheetId="50" r:id="rId3"/>
    <sheet name="4 int-i bevételek " sheetId="32" r:id="rId4"/>
    <sheet name="5 kiadások" sheetId="30" r:id="rId5"/>
    <sheet name="6 beruházások" sheetId="52" r:id="rId6"/>
    <sheet name="7. céltartalék" sheetId="53" r:id="rId7"/>
    <sheet name="8. EU" sheetId="54" r:id="rId8"/>
    <sheet name="9. többéves" sheetId="55" r:id="rId9"/>
    <sheet name="10. fejl" sheetId="56" r:id="rId10"/>
    <sheet name="11. maradvány" sheetId="57" r:id="rId11"/>
    <sheet name="12A vagyon17" sheetId="58" r:id="rId12"/>
    <sheet name="12Bvagyon18" sheetId="59" r:id="rId13"/>
    <sheet name="12C" sheetId="67" r:id="rId14"/>
    <sheet name="13. ered.kim." sheetId="62" r:id="rId15"/>
    <sheet name="1. kimutatás" sheetId="63" r:id="rId16"/>
    <sheet name="2. kimutatás" sheetId="64" r:id="rId17"/>
    <sheet name="3. kimutatás" sheetId="65" r:id="rId18"/>
  </sheets>
  <externalReferences>
    <externalReference r:id="rId19"/>
    <externalReference r:id="rId20"/>
    <externalReference r:id="rId21"/>
    <externalReference r:id="rId22"/>
  </externalReferences>
  <definedNames>
    <definedName name="_xlnm.Print_Titles" localSheetId="2">'3 bevételek'!$4:$5</definedName>
    <definedName name="_xlnm.Print_Titles" localSheetId="3">'4 int-i bevételek '!$5:$8</definedName>
    <definedName name="_xlnm.Print_Titles" localSheetId="4">'5 kiadások'!$5:$7</definedName>
    <definedName name="_xlnm.Print_Titles" localSheetId="5">'6 beruházások'!$4:$5</definedName>
    <definedName name="_xlnm.Print_Area" localSheetId="0">'1. pénzkészlet'!$A$1:$G$12</definedName>
    <definedName name="_xlnm.Print_Area" localSheetId="1">'2 mérleg'!$A$1:$E$178</definedName>
    <definedName name="_xlnm.Print_Area" localSheetId="2">'3 bevételek'!$A$1:$H$913</definedName>
    <definedName name="_xlnm.Print_Area" localSheetId="3">'4 int-i bevételek '!$A$1:$N$48</definedName>
    <definedName name="_xlnm.Print_Area" localSheetId="4">'5 kiadások'!$B$1:$S$374</definedName>
    <definedName name="_xlnm.Print_Area" localSheetId="5">'6 beruházások'!$A$1:$F$73,'6 beruházások'!#REF!</definedName>
  </definedNames>
  <calcPr calcId="162913"/>
</workbook>
</file>

<file path=xl/calcChain.xml><?xml version="1.0" encoding="utf-8"?>
<calcChain xmlns="http://schemas.openxmlformats.org/spreadsheetml/2006/main">
  <c r="S219" i="30" l="1"/>
  <c r="S339" i="30" s="1"/>
  <c r="S220" i="30"/>
  <c r="S340" i="30" s="1"/>
  <c r="S218" i="30"/>
  <c r="S338" i="30" s="1"/>
  <c r="S103" i="30"/>
  <c r="S86" i="30"/>
  <c r="S87" i="30"/>
  <c r="S85" i="30"/>
  <c r="S10" i="30"/>
  <c r="S11" i="30"/>
  <c r="S9" i="30"/>
  <c r="F591" i="50" l="1"/>
  <c r="I26" i="54"/>
  <c r="I27" i="54"/>
  <c r="I25" i="54"/>
  <c r="H132" i="30"/>
  <c r="H235" i="30"/>
  <c r="H271" i="30"/>
  <c r="H272" i="30"/>
  <c r="H270" i="30"/>
  <c r="M322" i="30"/>
  <c r="M324" i="30"/>
  <c r="E9" i="52" l="1"/>
  <c r="F379" i="50"/>
  <c r="F380" i="50"/>
  <c r="F378" i="50"/>
  <c r="F370" i="50"/>
  <c r="C99" i="2"/>
  <c r="C100" i="2"/>
  <c r="C98" i="2"/>
  <c r="C13" i="2"/>
  <c r="C18" i="2"/>
  <c r="C19" i="2"/>
  <c r="C17" i="2"/>
  <c r="F586" i="50"/>
  <c r="F590" i="50"/>
  <c r="F539" i="50"/>
  <c r="F540" i="50"/>
  <c r="F538" i="50"/>
  <c r="F418" i="50"/>
  <c r="K15" i="32" l="1"/>
  <c r="K11" i="32" s="1"/>
  <c r="L11" i="32"/>
  <c r="L12" i="32"/>
  <c r="K12" i="32"/>
  <c r="L10" i="32"/>
  <c r="M10" i="32"/>
  <c r="J11" i="32"/>
  <c r="J12" i="32"/>
  <c r="J10" i="32"/>
  <c r="D35" i="54" l="1"/>
  <c r="I35" i="54" s="1"/>
  <c r="D39" i="54"/>
  <c r="H30" i="54"/>
  <c r="H31" i="54"/>
  <c r="H29" i="54"/>
  <c r="H22" i="54"/>
  <c r="H23" i="54"/>
  <c r="H21" i="54"/>
  <c r="H14" i="54"/>
  <c r="H15" i="54"/>
  <c r="H13" i="54"/>
  <c r="C27" i="55"/>
  <c r="G27" i="55"/>
  <c r="F27" i="55"/>
  <c r="E27" i="55"/>
  <c r="D17" i="63" l="1"/>
  <c r="C17" i="63"/>
  <c r="D8" i="63"/>
  <c r="C8" i="63"/>
  <c r="C6" i="63"/>
  <c r="E18" i="52" l="1"/>
  <c r="E14" i="52" s="1"/>
  <c r="F19" i="52"/>
  <c r="E27" i="52"/>
  <c r="F48" i="52"/>
  <c r="F12" i="52"/>
  <c r="F11" i="52"/>
  <c r="F10" i="52" s="1"/>
  <c r="F46" i="52"/>
  <c r="F30" i="52"/>
  <c r="F18" i="52"/>
  <c r="D32" i="52"/>
  <c r="K151" i="30"/>
  <c r="K147" i="30"/>
  <c r="J323" i="30"/>
  <c r="M323" i="30" s="1"/>
  <c r="K148" i="30" l="1"/>
  <c r="K144" i="30" s="1"/>
  <c r="K120" i="30" l="1"/>
  <c r="K337" i="30"/>
  <c r="K143" i="30"/>
  <c r="K142" i="30"/>
  <c r="I279" i="30"/>
  <c r="H231" i="30"/>
  <c r="F59" i="52"/>
  <c r="F56" i="52"/>
  <c r="N194" i="30"/>
  <c r="E13" i="52"/>
  <c r="N228" i="30"/>
  <c r="N203" i="30"/>
  <c r="N308" i="30"/>
  <c r="N307" i="30"/>
  <c r="E49" i="52"/>
  <c r="F29" i="52"/>
  <c r="N196" i="30" s="1"/>
  <c r="E29" i="52"/>
  <c r="N195" i="30" s="1"/>
  <c r="E11" i="52"/>
  <c r="E12" i="52"/>
  <c r="N227" i="30" l="1"/>
  <c r="E10" i="52"/>
  <c r="N240" i="30"/>
  <c r="N231" i="30"/>
  <c r="F45" i="52"/>
  <c r="F44" i="52" s="1"/>
  <c r="E46" i="52"/>
  <c r="D46" i="52"/>
  <c r="D45" i="52" s="1"/>
  <c r="F36" i="52"/>
  <c r="F33" i="52" s="1"/>
  <c r="F32" i="52" s="1"/>
  <c r="E36" i="52"/>
  <c r="E33" i="52" s="1"/>
  <c r="E32" i="52" s="1"/>
  <c r="E60" i="52"/>
  <c r="N243" i="30" s="1"/>
  <c r="N232" i="30" l="1"/>
  <c r="R225" i="30"/>
  <c r="R229" i="30"/>
  <c r="M227" i="30"/>
  <c r="M226" i="30"/>
  <c r="E59" i="52"/>
  <c r="H187" i="30"/>
  <c r="H219" i="30"/>
  <c r="H218" i="30"/>
  <c r="H211" i="30"/>
  <c r="N247" i="30"/>
  <c r="M246" i="30"/>
  <c r="G312" i="30"/>
  <c r="G132" i="30"/>
  <c r="F312" i="30"/>
  <c r="F132" i="30"/>
  <c r="H212" i="30"/>
  <c r="H196" i="30"/>
  <c r="H228" i="30"/>
  <c r="M228" i="30" s="1"/>
  <c r="R227" i="30" l="1"/>
  <c r="G131" i="30"/>
  <c r="F131" i="30"/>
  <c r="F295" i="30"/>
  <c r="F315" i="30"/>
  <c r="F307" i="30"/>
  <c r="G268" i="30"/>
  <c r="I268" i="30"/>
  <c r="J268" i="30"/>
  <c r="K268" i="30"/>
  <c r="L268" i="30"/>
  <c r="F268" i="30"/>
  <c r="I220" i="30"/>
  <c r="J220" i="30"/>
  <c r="K220" i="30"/>
  <c r="L220" i="30"/>
  <c r="I219" i="30"/>
  <c r="J219" i="30"/>
  <c r="K219" i="30"/>
  <c r="L219" i="30"/>
  <c r="G218" i="30"/>
  <c r="I218" i="30"/>
  <c r="J218" i="30"/>
  <c r="K218" i="30"/>
  <c r="L218" i="30"/>
  <c r="F218" i="30"/>
  <c r="F248" i="30"/>
  <c r="O248" i="30"/>
  <c r="N246" i="30"/>
  <c r="R246" i="30" s="1"/>
  <c r="I29" i="54" s="1"/>
  <c r="G247" i="30"/>
  <c r="G219" i="30" s="1"/>
  <c r="F247" i="30"/>
  <c r="D44" i="52"/>
  <c r="F219" i="30" l="1"/>
  <c r="M247" i="30"/>
  <c r="R247" i="30" s="1"/>
  <c r="I30" i="54" s="1"/>
  <c r="G248" i="30"/>
  <c r="M248" i="30" s="1"/>
  <c r="R248" i="30" s="1"/>
  <c r="I31" i="54" s="1"/>
  <c r="N230" i="30"/>
  <c r="R230" i="30" s="1"/>
  <c r="I13" i="54" s="1"/>
  <c r="N239" i="30"/>
  <c r="N260" i="30"/>
  <c r="N258" i="30"/>
  <c r="N238" i="30"/>
  <c r="D14" i="52"/>
  <c r="N187" i="30"/>
  <c r="N244" i="30"/>
  <c r="N242" i="30"/>
  <c r="N256" i="30"/>
  <c r="N255" i="30"/>
  <c r="N254" i="30"/>
  <c r="N252" i="30"/>
  <c r="N251" i="30"/>
  <c r="D34" i="54" s="1"/>
  <c r="I34" i="54" s="1"/>
  <c r="N250" i="30"/>
  <c r="D33" i="54" s="1"/>
  <c r="E53" i="52"/>
  <c r="E44" i="52" s="1"/>
  <c r="N132" i="30"/>
  <c r="N131" i="30"/>
  <c r="N130" i="30"/>
  <c r="N259" i="30" l="1"/>
  <c r="M218" i="30"/>
  <c r="S127" i="30" l="1"/>
  <c r="S128" i="30"/>
  <c r="S126" i="30"/>
  <c r="G307" i="30"/>
  <c r="O268" i="30" l="1"/>
  <c r="P268" i="30"/>
  <c r="Q268" i="30"/>
  <c r="O267" i="30"/>
  <c r="P267" i="30"/>
  <c r="Q267" i="30"/>
  <c r="O266" i="30"/>
  <c r="P266" i="30"/>
  <c r="Q266" i="30"/>
  <c r="N267" i="30"/>
  <c r="N268" i="30"/>
  <c r="N266" i="30"/>
  <c r="G267" i="30"/>
  <c r="H267" i="30"/>
  <c r="I267" i="30"/>
  <c r="J267" i="30"/>
  <c r="K267" i="30"/>
  <c r="L267" i="30"/>
  <c r="G266" i="30"/>
  <c r="H266" i="30"/>
  <c r="I266" i="30"/>
  <c r="J266" i="30"/>
  <c r="K266" i="30"/>
  <c r="L266" i="30"/>
  <c r="F267" i="30"/>
  <c r="F266" i="30"/>
  <c r="G224" i="30"/>
  <c r="G220" i="30" s="1"/>
  <c r="F224" i="30"/>
  <c r="F220" i="30" s="1"/>
  <c r="H224" i="30"/>
  <c r="H220" i="30" s="1"/>
  <c r="G304" i="30"/>
  <c r="H304" i="30"/>
  <c r="I304" i="30"/>
  <c r="J304" i="30"/>
  <c r="K304" i="30"/>
  <c r="L304" i="30"/>
  <c r="H303" i="30"/>
  <c r="I303" i="30"/>
  <c r="J303" i="30"/>
  <c r="K303" i="30"/>
  <c r="L303" i="30"/>
  <c r="G302" i="30"/>
  <c r="H302" i="30"/>
  <c r="I302" i="30"/>
  <c r="J302" i="30"/>
  <c r="K302" i="30"/>
  <c r="L302" i="30"/>
  <c r="F304" i="30"/>
  <c r="F302" i="30"/>
  <c r="N316" i="30"/>
  <c r="N315" i="30"/>
  <c r="N314" i="30"/>
  <c r="M315" i="30"/>
  <c r="M316" i="30"/>
  <c r="M314" i="30"/>
  <c r="R232" i="30" l="1"/>
  <c r="I15" i="54" s="1"/>
  <c r="R231" i="30"/>
  <c r="I14" i="54" s="1"/>
  <c r="N236" i="30" l="1"/>
  <c r="N220" i="30" s="1"/>
  <c r="N235" i="30"/>
  <c r="N219" i="30" s="1"/>
  <c r="N234" i="30"/>
  <c r="D13" i="52"/>
  <c r="F15" i="52"/>
  <c r="N186" i="30"/>
  <c r="N182" i="30"/>
  <c r="E19" i="52"/>
  <c r="N172" i="30"/>
  <c r="D19" i="52"/>
  <c r="N170" i="30" s="1"/>
  <c r="F26" i="52"/>
  <c r="F25" i="52"/>
  <c r="F24" i="52"/>
  <c r="F23" i="52"/>
  <c r="E26" i="52"/>
  <c r="E25" i="52"/>
  <c r="E24" i="52"/>
  <c r="E23" i="52"/>
  <c r="E22" i="52"/>
  <c r="F22" i="52" s="1"/>
  <c r="D21" i="52"/>
  <c r="N310" i="30" s="1"/>
  <c r="H200" i="30"/>
  <c r="H199" i="30"/>
  <c r="H347" i="30" s="1"/>
  <c r="H190" i="30"/>
  <c r="H300" i="30"/>
  <c r="H268" i="30" s="1"/>
  <c r="N184" i="30"/>
  <c r="N183" i="30"/>
  <c r="F742" i="50"/>
  <c r="F741" i="50"/>
  <c r="H808" i="50"/>
  <c r="H809" i="50"/>
  <c r="H807" i="50"/>
  <c r="F740" i="50"/>
  <c r="N226" i="30" l="1"/>
  <c r="D9" i="52"/>
  <c r="F21" i="52"/>
  <c r="N312" i="30" s="1"/>
  <c r="F14" i="52"/>
  <c r="N218" i="30"/>
  <c r="N171" i="30"/>
  <c r="R226" i="30"/>
  <c r="R228" i="30"/>
  <c r="E21" i="52"/>
  <c r="F9" i="52" l="1"/>
  <c r="N188" i="30"/>
  <c r="G688" i="50"/>
  <c r="G689" i="50"/>
  <c r="G687" i="50"/>
  <c r="H700" i="50"/>
  <c r="H701" i="50"/>
  <c r="H699" i="50"/>
  <c r="F644" i="50" l="1"/>
  <c r="F645" i="50"/>
  <c r="F643" i="50"/>
  <c r="Y36" i="62"/>
  <c r="Y9" i="62"/>
  <c r="X9" i="62"/>
  <c r="B93" i="59"/>
  <c r="B88" i="59"/>
  <c r="B78" i="59"/>
  <c r="B37" i="59"/>
  <c r="B31" i="59"/>
  <c r="H756" i="50"/>
  <c r="H757" i="50"/>
  <c r="H755" i="50"/>
  <c r="H759" i="50"/>
  <c r="H760" i="50"/>
  <c r="H758" i="50"/>
  <c r="G680" i="50"/>
  <c r="G681" i="50"/>
  <c r="G679" i="50"/>
  <c r="F680" i="50"/>
  <c r="F681" i="50"/>
  <c r="F679" i="50"/>
  <c r="H672" i="50" l="1"/>
  <c r="H673" i="50"/>
  <c r="H671" i="50"/>
  <c r="H668" i="50"/>
  <c r="H669" i="50"/>
  <c r="H667" i="50"/>
  <c r="H643" i="50"/>
  <c r="AC9" i="62" l="1"/>
  <c r="AB9" i="62"/>
  <c r="D84" i="59"/>
  <c r="O59" i="30"/>
  <c r="P59" i="30"/>
  <c r="Q59" i="30"/>
  <c r="O58" i="30"/>
  <c r="P58" i="30"/>
  <c r="Q58" i="30"/>
  <c r="N58" i="30"/>
  <c r="J31" i="32" s="1"/>
  <c r="O57" i="30"/>
  <c r="P57" i="30"/>
  <c r="Q57" i="30"/>
  <c r="N57" i="30"/>
  <c r="O55" i="30"/>
  <c r="P55" i="30"/>
  <c r="Q55" i="30"/>
  <c r="O54" i="30"/>
  <c r="P54" i="30"/>
  <c r="Q54" i="30"/>
  <c r="O53" i="30"/>
  <c r="P53" i="30"/>
  <c r="Q53" i="30"/>
  <c r="I55" i="30"/>
  <c r="J55" i="30"/>
  <c r="K55" i="30"/>
  <c r="L55" i="30"/>
  <c r="I53" i="30"/>
  <c r="J53" i="30"/>
  <c r="K53" i="30"/>
  <c r="L53" i="30"/>
  <c r="I59" i="30"/>
  <c r="J59" i="30"/>
  <c r="K59" i="30"/>
  <c r="L59" i="30"/>
  <c r="G58" i="30"/>
  <c r="H58" i="30"/>
  <c r="I58" i="30"/>
  <c r="J58" i="30"/>
  <c r="K58" i="30"/>
  <c r="L58" i="30"/>
  <c r="H57" i="30"/>
  <c r="I57" i="30"/>
  <c r="J57" i="30"/>
  <c r="K57" i="30"/>
  <c r="L57" i="30"/>
  <c r="F58" i="30"/>
  <c r="F57" i="30"/>
  <c r="H53" i="30"/>
  <c r="H67" i="30"/>
  <c r="N67" i="30"/>
  <c r="N55" i="30" s="1"/>
  <c r="G67" i="30"/>
  <c r="G55" i="30" s="1"/>
  <c r="F67" i="30"/>
  <c r="F55" i="30" s="1"/>
  <c r="N71" i="30"/>
  <c r="N59" i="30" s="1"/>
  <c r="J32" i="32" s="1"/>
  <c r="H71" i="30"/>
  <c r="H59" i="30" s="1"/>
  <c r="G71" i="30"/>
  <c r="G59" i="30" s="1"/>
  <c r="F71" i="30"/>
  <c r="F59" i="30" s="1"/>
  <c r="H79" i="30"/>
  <c r="H55" i="30" l="1"/>
  <c r="H51" i="30" s="1"/>
  <c r="J28" i="32"/>
  <c r="N51" i="30"/>
  <c r="H63" i="30"/>
  <c r="N53" i="30"/>
  <c r="G65" i="30"/>
  <c r="G81" i="30"/>
  <c r="G77" i="30"/>
  <c r="G69" i="30"/>
  <c r="F53" i="30"/>
  <c r="F30" i="32"/>
  <c r="G12" i="66"/>
  <c r="G11" i="66"/>
  <c r="G10" i="66"/>
  <c r="G9" i="66"/>
  <c r="G8" i="66"/>
  <c r="G7" i="66"/>
  <c r="M55" i="30" l="1"/>
  <c r="G53" i="30"/>
  <c r="M53" i="30" s="1"/>
  <c r="G57" i="30"/>
  <c r="F27" i="32"/>
  <c r="F26" i="32" l="1"/>
  <c r="F448" i="50"/>
  <c r="F444" i="50"/>
  <c r="F396" i="50"/>
  <c r="F343" i="50"/>
  <c r="F342" i="50"/>
  <c r="F348" i="50"/>
  <c r="F344" i="50" s="1"/>
  <c r="F294" i="50"/>
  <c r="F160" i="50"/>
  <c r="F159" i="50"/>
  <c r="F31" i="32" s="1"/>
  <c r="F156" i="50"/>
  <c r="F32" i="32" l="1"/>
  <c r="F28" i="32"/>
  <c r="F39" i="52"/>
  <c r="I43" i="67" l="1"/>
  <c r="I39" i="67"/>
  <c r="D40" i="67"/>
  <c r="D41" i="67" s="1"/>
  <c r="D42" i="67" s="1"/>
  <c r="E40" i="67"/>
  <c r="E41" i="67" s="1"/>
  <c r="F40" i="67"/>
  <c r="F41" i="67" s="1"/>
  <c r="G40" i="67"/>
  <c r="G41" i="67" s="1"/>
  <c r="H40" i="67"/>
  <c r="H41" i="67" s="1"/>
  <c r="C40" i="67"/>
  <c r="C41" i="67" s="1"/>
  <c r="C42" i="67" s="1"/>
  <c r="D35" i="67"/>
  <c r="E35" i="67"/>
  <c r="F35" i="67"/>
  <c r="F36" i="67" s="1"/>
  <c r="G35" i="67"/>
  <c r="H35" i="67"/>
  <c r="H36" i="67" s="1"/>
  <c r="C35" i="67"/>
  <c r="G33" i="67"/>
  <c r="E33" i="67"/>
  <c r="I30" i="67"/>
  <c r="I31" i="67"/>
  <c r="I32" i="67"/>
  <c r="I34" i="67"/>
  <c r="I37" i="67"/>
  <c r="I38" i="67"/>
  <c r="I29" i="67"/>
  <c r="AA9" i="62"/>
  <c r="Z9" i="62"/>
  <c r="C84" i="59"/>
  <c r="K16" i="32"/>
  <c r="E11" i="32"/>
  <c r="E12" i="32"/>
  <c r="E10" i="32"/>
  <c r="G10" i="32"/>
  <c r="H10" i="32"/>
  <c r="I10" i="32"/>
  <c r="G31" i="50"/>
  <c r="G32" i="50"/>
  <c r="G30" i="50"/>
  <c r="F31" i="50"/>
  <c r="D15" i="32" s="1"/>
  <c r="D11" i="32" s="1"/>
  <c r="F32" i="50"/>
  <c r="F30" i="50"/>
  <c r="D14" i="32" s="1"/>
  <c r="D10" i="32" s="1"/>
  <c r="H39" i="50"/>
  <c r="H40" i="50"/>
  <c r="H38" i="50"/>
  <c r="H35" i="50"/>
  <c r="H36" i="50"/>
  <c r="H34" i="50"/>
  <c r="G43" i="50"/>
  <c r="G44" i="50"/>
  <c r="G42" i="50"/>
  <c r="F43" i="50"/>
  <c r="F44" i="50"/>
  <c r="F42" i="50"/>
  <c r="G55" i="50"/>
  <c r="G56" i="50"/>
  <c r="G54" i="50"/>
  <c r="F55" i="50"/>
  <c r="F56" i="50"/>
  <c r="F54" i="50"/>
  <c r="G26" i="50"/>
  <c r="G17" i="50" s="1"/>
  <c r="F26" i="50"/>
  <c r="F17" i="50" s="1"/>
  <c r="F42" i="67" l="1"/>
  <c r="F22" i="50"/>
  <c r="I33" i="67"/>
  <c r="H55" i="50"/>
  <c r="H54" i="50"/>
  <c r="G22" i="50"/>
  <c r="G13" i="50" s="1"/>
  <c r="G9" i="50" s="1"/>
  <c r="H42" i="50"/>
  <c r="H26" i="50"/>
  <c r="H30" i="50"/>
  <c r="H44" i="50"/>
  <c r="F24" i="50"/>
  <c r="G23" i="50"/>
  <c r="G14" i="50" s="1"/>
  <c r="H56" i="50"/>
  <c r="H32" i="50"/>
  <c r="F23" i="50"/>
  <c r="F14" i="50" s="1"/>
  <c r="G24" i="50"/>
  <c r="H31" i="50"/>
  <c r="D16" i="32"/>
  <c r="D12" i="32" s="1"/>
  <c r="H43" i="50"/>
  <c r="E36" i="67"/>
  <c r="E42" i="67" s="1"/>
  <c r="H42" i="67"/>
  <c r="G36" i="67"/>
  <c r="G42" i="67" s="1"/>
  <c r="I40" i="67"/>
  <c r="I35" i="67"/>
  <c r="I41" i="67"/>
  <c r="H17" i="50"/>
  <c r="I42" i="67" l="1"/>
  <c r="H14" i="50"/>
  <c r="H23" i="50"/>
  <c r="I36" i="67"/>
  <c r="G28" i="50"/>
  <c r="G19" i="50" s="1"/>
  <c r="F28" i="50"/>
  <c r="H20" i="50"/>
  <c r="F38" i="52"/>
  <c r="E39" i="52"/>
  <c r="E38" i="52" s="1"/>
  <c r="E37" i="52" s="1"/>
  <c r="D37" i="52"/>
  <c r="N26" i="30"/>
  <c r="H26" i="30"/>
  <c r="H14" i="30" s="1"/>
  <c r="F26" i="30"/>
  <c r="F22" i="30" s="1"/>
  <c r="F14" i="30" s="1"/>
  <c r="G26" i="30"/>
  <c r="H13" i="30"/>
  <c r="J13" i="30"/>
  <c r="K13" i="30"/>
  <c r="L13" i="30"/>
  <c r="F15" i="30"/>
  <c r="F13" i="30"/>
  <c r="F9" i="30" s="1"/>
  <c r="I22" i="30"/>
  <c r="J22" i="30"/>
  <c r="K22" i="30"/>
  <c r="L22" i="30"/>
  <c r="G23" i="30"/>
  <c r="I23" i="30"/>
  <c r="J23" i="30"/>
  <c r="K23" i="30"/>
  <c r="L23" i="30"/>
  <c r="G21" i="30"/>
  <c r="H21" i="30"/>
  <c r="I21" i="30"/>
  <c r="J21" i="30"/>
  <c r="K21" i="30"/>
  <c r="L21" i="30"/>
  <c r="F21" i="30"/>
  <c r="F23" i="30"/>
  <c r="S23" i="30"/>
  <c r="S22" i="30"/>
  <c r="S21" i="30"/>
  <c r="G33" i="30"/>
  <c r="G13" i="30" s="1"/>
  <c r="H22" i="30" l="1"/>
  <c r="F13" i="50"/>
  <c r="H22" i="50"/>
  <c r="F27" i="50"/>
  <c r="F15" i="50"/>
  <c r="G27" i="50"/>
  <c r="G18" i="50" s="1"/>
  <c r="G10" i="50" s="1"/>
  <c r="F19" i="50"/>
  <c r="H19" i="50" s="1"/>
  <c r="H28" i="50"/>
  <c r="F11" i="50" l="1"/>
  <c r="H13" i="50"/>
  <c r="F9" i="50"/>
  <c r="H9" i="50" s="1"/>
  <c r="H27" i="50"/>
  <c r="F18" i="50"/>
  <c r="H24" i="50"/>
  <c r="G15" i="50"/>
  <c r="H18" i="50" l="1"/>
  <c r="F10" i="50"/>
  <c r="H10" i="50" s="1"/>
  <c r="H15" i="50"/>
  <c r="G11" i="50"/>
  <c r="H11" i="50" s="1"/>
  <c r="H27" i="30"/>
  <c r="M38" i="30"/>
  <c r="R38" i="30" s="1"/>
  <c r="M39" i="30"/>
  <c r="R39" i="30" s="1"/>
  <c r="M37" i="30"/>
  <c r="R37" i="30" s="1"/>
  <c r="H23" i="30" l="1"/>
  <c r="F724" i="50"/>
  <c r="L138" i="30" l="1"/>
  <c r="H130" i="30"/>
  <c r="F130" i="30"/>
  <c r="AF29" i="62"/>
  <c r="AF24" i="62"/>
  <c r="AF23" i="62"/>
  <c r="AF22" i="62"/>
  <c r="AA37" i="62"/>
  <c r="Y31" i="62"/>
  <c r="Y37" i="62" s="1"/>
  <c r="Z31" i="62"/>
  <c r="AB31" i="62"/>
  <c r="AC31" i="62"/>
  <c r="AC37" i="62" s="1"/>
  <c r="AD31" i="62"/>
  <c r="AE31" i="62"/>
  <c r="AE37" i="62" s="1"/>
  <c r="Y25" i="62"/>
  <c r="Z25" i="62"/>
  <c r="AA25" i="62"/>
  <c r="AB25" i="62"/>
  <c r="AC25" i="62"/>
  <c r="AD25" i="62"/>
  <c r="AE25" i="62"/>
  <c r="Y21" i="62"/>
  <c r="Z21" i="62"/>
  <c r="AA21" i="62"/>
  <c r="AB21" i="62"/>
  <c r="AC21" i="62"/>
  <c r="AD21" i="62"/>
  <c r="AE21" i="62"/>
  <c r="AF19" i="62"/>
  <c r="AF18" i="62"/>
  <c r="Y17" i="62"/>
  <c r="Z17" i="62"/>
  <c r="AA17" i="62"/>
  <c r="AB17" i="62"/>
  <c r="AC17" i="62"/>
  <c r="AD17" i="62"/>
  <c r="AE17" i="62"/>
  <c r="Y12" i="62"/>
  <c r="Z12" i="62"/>
  <c r="AA12" i="62"/>
  <c r="AB12" i="62"/>
  <c r="AC12" i="62"/>
  <c r="AD12" i="62"/>
  <c r="AE12" i="62"/>
  <c r="AF16" i="62"/>
  <c r="AH8" i="62"/>
  <c r="AH9" i="62"/>
  <c r="AH10" i="62"/>
  <c r="AH11" i="62"/>
  <c r="AH13" i="62"/>
  <c r="AH14" i="62"/>
  <c r="AH15" i="62"/>
  <c r="AH16" i="62"/>
  <c r="AH18" i="62"/>
  <c r="AH19" i="62"/>
  <c r="AH20" i="62"/>
  <c r="AH22" i="62"/>
  <c r="AH23" i="62"/>
  <c r="AH24" i="62"/>
  <c r="AH26" i="62"/>
  <c r="AH27" i="62"/>
  <c r="AH29" i="62"/>
  <c r="AH30" i="62"/>
  <c r="AH32" i="62"/>
  <c r="AH33" i="62"/>
  <c r="AH34" i="62"/>
  <c r="AH35" i="62"/>
  <c r="AH36" i="62"/>
  <c r="AH39" i="62"/>
  <c r="AH40" i="62"/>
  <c r="AH41" i="62"/>
  <c r="AH42" i="62"/>
  <c r="AH43" i="62"/>
  <c r="AG8" i="62"/>
  <c r="AG10" i="62"/>
  <c r="AG11" i="62"/>
  <c r="AG13" i="62"/>
  <c r="AG14" i="62"/>
  <c r="AG15" i="62"/>
  <c r="AG16" i="62"/>
  <c r="AG18" i="62"/>
  <c r="AG19" i="62"/>
  <c r="AG20" i="62"/>
  <c r="AG22" i="62"/>
  <c r="AG23" i="62"/>
  <c r="AG24" i="62"/>
  <c r="AG26" i="62"/>
  <c r="AG27" i="62"/>
  <c r="AG29" i="62"/>
  <c r="AG30" i="62"/>
  <c r="AG32" i="62"/>
  <c r="AG33" i="62"/>
  <c r="AG34" i="62"/>
  <c r="AG35" i="62"/>
  <c r="AG39" i="62"/>
  <c r="AG40" i="62"/>
  <c r="AG42" i="62"/>
  <c r="AH7" i="62"/>
  <c r="AG7" i="62"/>
  <c r="AF13" i="62"/>
  <c r="E84" i="59"/>
  <c r="E78" i="59"/>
  <c r="B17" i="58"/>
  <c r="F17" i="58" s="1"/>
  <c r="E14" i="58"/>
  <c r="D14" i="58"/>
  <c r="C14" i="58"/>
  <c r="B14" i="58"/>
  <c r="E10" i="58"/>
  <c r="D10" i="58"/>
  <c r="C10" i="58"/>
  <c r="B10" i="58"/>
  <c r="E91" i="58"/>
  <c r="D91" i="58"/>
  <c r="C91" i="58"/>
  <c r="B91" i="58"/>
  <c r="F90" i="58"/>
  <c r="F89" i="58"/>
  <c r="E87" i="58"/>
  <c r="D87" i="58"/>
  <c r="C87" i="58"/>
  <c r="B87" i="58"/>
  <c r="F86" i="58"/>
  <c r="F85" i="58"/>
  <c r="F83" i="58"/>
  <c r="E82" i="58"/>
  <c r="C82" i="58"/>
  <c r="B82" i="58"/>
  <c r="B84" i="58" s="1"/>
  <c r="F84" i="58" s="1"/>
  <c r="F81" i="58"/>
  <c r="E80" i="58"/>
  <c r="F80" i="58" s="1"/>
  <c r="E79" i="58"/>
  <c r="D79" i="58"/>
  <c r="C79" i="58"/>
  <c r="B79" i="58"/>
  <c r="F78" i="58"/>
  <c r="F77" i="58"/>
  <c r="F76" i="58"/>
  <c r="F74" i="58"/>
  <c r="F73" i="58"/>
  <c r="B72" i="58"/>
  <c r="B75" i="58" s="1"/>
  <c r="E71" i="58"/>
  <c r="E72" i="58" s="1"/>
  <c r="D71" i="58"/>
  <c r="D72" i="58" s="1"/>
  <c r="C71" i="58"/>
  <c r="C72" i="58" s="1"/>
  <c r="F70" i="58"/>
  <c r="E69" i="58"/>
  <c r="D69" i="58"/>
  <c r="C69" i="58"/>
  <c r="E67" i="58"/>
  <c r="D67" i="58"/>
  <c r="C67" i="58"/>
  <c r="B67" i="58"/>
  <c r="F66" i="58"/>
  <c r="E65" i="58"/>
  <c r="D64" i="58"/>
  <c r="C64" i="58"/>
  <c r="B64" i="58"/>
  <c r="F63" i="58"/>
  <c r="D62" i="58"/>
  <c r="C62" i="58"/>
  <c r="B62" i="58"/>
  <c r="F61" i="58"/>
  <c r="E60" i="58"/>
  <c r="D60" i="58"/>
  <c r="C60" i="58"/>
  <c r="B60" i="58"/>
  <c r="F58" i="58"/>
  <c r="F55" i="58"/>
  <c r="F54" i="58"/>
  <c r="F53" i="58"/>
  <c r="E50" i="58"/>
  <c r="E56" i="58" s="1"/>
  <c r="D50" i="58"/>
  <c r="D56" i="58" s="1"/>
  <c r="C50" i="58"/>
  <c r="C56" i="58" s="1"/>
  <c r="B50" i="58"/>
  <c r="B56" i="58" s="1"/>
  <c r="E49" i="58"/>
  <c r="D49" i="58"/>
  <c r="C49" i="58"/>
  <c r="F48" i="58"/>
  <c r="F46" i="58"/>
  <c r="B45" i="58"/>
  <c r="F45" i="58" s="1"/>
  <c r="F44" i="58"/>
  <c r="F43" i="58"/>
  <c r="B42" i="58"/>
  <c r="F42" i="58" s="1"/>
  <c r="F41" i="58"/>
  <c r="F39" i="58"/>
  <c r="E38" i="58"/>
  <c r="D38" i="58"/>
  <c r="C38" i="58"/>
  <c r="B38" i="58"/>
  <c r="F37" i="58"/>
  <c r="F36" i="58"/>
  <c r="C35" i="58"/>
  <c r="C32" i="58" s="1"/>
  <c r="F34" i="58"/>
  <c r="F33" i="58"/>
  <c r="E32" i="58"/>
  <c r="B32" i="58"/>
  <c r="F31" i="58"/>
  <c r="F30" i="58"/>
  <c r="E28" i="58"/>
  <c r="D28" i="58"/>
  <c r="B28" i="58"/>
  <c r="E26" i="58"/>
  <c r="D26" i="58"/>
  <c r="C26" i="58"/>
  <c r="B26" i="58"/>
  <c r="F24" i="58"/>
  <c r="E23" i="58"/>
  <c r="D23" i="58"/>
  <c r="C23" i="58"/>
  <c r="B23" i="58"/>
  <c r="F22" i="58"/>
  <c r="E20" i="58"/>
  <c r="E21" i="58" s="1"/>
  <c r="D20" i="58"/>
  <c r="D21" i="58" s="1"/>
  <c r="C20" i="58"/>
  <c r="C21" i="58" s="1"/>
  <c r="B20" i="58"/>
  <c r="B21" i="58" s="1"/>
  <c r="F19" i="58"/>
  <c r="F16" i="58"/>
  <c r="F15" i="58"/>
  <c r="F13" i="58"/>
  <c r="F12" i="58"/>
  <c r="F11" i="58"/>
  <c r="F9" i="58"/>
  <c r="E41" i="52"/>
  <c r="E8" i="52" s="1"/>
  <c r="E6" i="52" s="1"/>
  <c r="F41" i="52"/>
  <c r="D41" i="52"/>
  <c r="D8" i="52" s="1"/>
  <c r="D6" i="52" s="1"/>
  <c r="F559" i="50"/>
  <c r="L27" i="32" s="1"/>
  <c r="F560" i="50"/>
  <c r="L28" i="32" s="1"/>
  <c r="F403" i="50"/>
  <c r="F404" i="50"/>
  <c r="F402" i="50"/>
  <c r="F439" i="50"/>
  <c r="G891" i="50" l="1"/>
  <c r="D153" i="2" s="1"/>
  <c r="E153" i="2" s="1"/>
  <c r="C88" i="58"/>
  <c r="D18" i="58"/>
  <c r="C18" i="58"/>
  <c r="B18" i="58"/>
  <c r="C65" i="58"/>
  <c r="F62" i="58"/>
  <c r="F64" i="58"/>
  <c r="D40" i="58"/>
  <c r="D57" i="58" s="1"/>
  <c r="D65" i="58"/>
  <c r="E18" i="58"/>
  <c r="F60" i="58"/>
  <c r="C27" i="58"/>
  <c r="F82" i="58"/>
  <c r="AB28" i="62"/>
  <c r="D75" i="58"/>
  <c r="F38" i="58"/>
  <c r="E88" i="58"/>
  <c r="G130" i="30"/>
  <c r="F21" i="58"/>
  <c r="E40" i="58"/>
  <c r="E57" i="58" s="1"/>
  <c r="AE28" i="62"/>
  <c r="AE38" i="62" s="1"/>
  <c r="AE44" i="62" s="1"/>
  <c r="Z28" i="62"/>
  <c r="AA28" i="62"/>
  <c r="AA38" i="62" s="1"/>
  <c r="AA44" i="62" s="1"/>
  <c r="AD28" i="62"/>
  <c r="AH12" i="62"/>
  <c r="AH21" i="62"/>
  <c r="Y28" i="62"/>
  <c r="Y38" i="62" s="1"/>
  <c r="Y44" i="62" s="1"/>
  <c r="AH31" i="62"/>
  <c r="AC28" i="62"/>
  <c r="AC38" i="62" s="1"/>
  <c r="AC44" i="62" s="1"/>
  <c r="AH37" i="62"/>
  <c r="AH17" i="62"/>
  <c r="AH25" i="62"/>
  <c r="F69" i="58"/>
  <c r="E75" i="58"/>
  <c r="D27" i="58"/>
  <c r="F14" i="58"/>
  <c r="F23" i="58"/>
  <c r="E27" i="58"/>
  <c r="F26" i="58"/>
  <c r="B27" i="58"/>
  <c r="F67" i="58"/>
  <c r="F79" i="58"/>
  <c r="D88" i="58"/>
  <c r="D92" i="58" s="1"/>
  <c r="F10" i="58"/>
  <c r="F56" i="58"/>
  <c r="C29" i="58"/>
  <c r="F32" i="58"/>
  <c r="B88" i="58"/>
  <c r="B92" i="58" s="1"/>
  <c r="C75" i="58"/>
  <c r="C92" i="58" s="1"/>
  <c r="F72" i="58"/>
  <c r="B65" i="58"/>
  <c r="F20" i="58"/>
  <c r="B40" i="58"/>
  <c r="B49" i="58"/>
  <c r="F49" i="58" s="1"/>
  <c r="F87" i="58"/>
  <c r="F91" i="58"/>
  <c r="F35" i="58"/>
  <c r="F71" i="58"/>
  <c r="F50" i="58"/>
  <c r="F18" i="58" l="1"/>
  <c r="F27" i="58"/>
  <c r="F65" i="58"/>
  <c r="E92" i="58"/>
  <c r="F92" i="58" s="1"/>
  <c r="D68" i="58"/>
  <c r="F75" i="58"/>
  <c r="AH44" i="62"/>
  <c r="AH38" i="62"/>
  <c r="AH28" i="62"/>
  <c r="E68" i="58"/>
  <c r="F88" i="58"/>
  <c r="E47" i="58"/>
  <c r="F47" i="58" s="1"/>
  <c r="B57" i="58"/>
  <c r="F29" i="58"/>
  <c r="C28" i="58"/>
  <c r="B68" i="58" l="1"/>
  <c r="C40" i="58"/>
  <c r="F28" i="58"/>
  <c r="C57" i="58" l="1"/>
  <c r="F40" i="58"/>
  <c r="C68" i="58" l="1"/>
  <c r="F68" i="58" s="1"/>
  <c r="F57" i="58"/>
  <c r="S54" i="30" l="1"/>
  <c r="S102" i="30" s="1"/>
  <c r="S53" i="30"/>
  <c r="S101" i="30" s="1"/>
  <c r="S58" i="30"/>
  <c r="S110" i="30" s="1"/>
  <c r="S59" i="30"/>
  <c r="S57" i="30"/>
  <c r="S109" i="30" s="1"/>
  <c r="S62" i="30"/>
  <c r="S63" i="30"/>
  <c r="S61" i="30"/>
  <c r="S74" i="30"/>
  <c r="S75" i="30"/>
  <c r="S73" i="30"/>
  <c r="S51" i="30" l="1"/>
  <c r="S111" i="30"/>
  <c r="S99" i="30" s="1"/>
  <c r="S97" i="30"/>
  <c r="S98" i="30"/>
  <c r="S50" i="30"/>
  <c r="S49" i="30"/>
  <c r="M57" i="30"/>
  <c r="K119" i="30" l="1"/>
  <c r="M194" i="30"/>
  <c r="R194" i="30" s="1"/>
  <c r="R197" i="30"/>
  <c r="M198" i="30"/>
  <c r="H204" i="30"/>
  <c r="G204" i="30"/>
  <c r="N198" i="30"/>
  <c r="M196" i="30"/>
  <c r="R201" i="30"/>
  <c r="O381" i="30"/>
  <c r="P381" i="30"/>
  <c r="Q381" i="30"/>
  <c r="O380" i="30"/>
  <c r="P380" i="30"/>
  <c r="Q380" i="30"/>
  <c r="O379" i="30"/>
  <c r="P379" i="30"/>
  <c r="Q379" i="30"/>
  <c r="K360" i="30"/>
  <c r="K361" i="30"/>
  <c r="K359" i="30"/>
  <c r="J361" i="30"/>
  <c r="J359" i="30"/>
  <c r="K340" i="30"/>
  <c r="R198" i="30" l="1"/>
  <c r="S336" i="30" l="1"/>
  <c r="S381" i="30" s="1"/>
  <c r="S335" i="30"/>
  <c r="S380" i="30" s="1"/>
  <c r="S334" i="30"/>
  <c r="S379" i="30" s="1"/>
  <c r="N311" i="30" l="1"/>
  <c r="N176" i="30"/>
  <c r="M374" i="30"/>
  <c r="D174" i="2"/>
  <c r="D173" i="2"/>
  <c r="D172" i="2"/>
  <c r="K115" i="30" l="1"/>
  <c r="J118" i="30"/>
  <c r="J338" i="30" s="1"/>
  <c r="L142" i="30"/>
  <c r="L119" i="30"/>
  <c r="L118" i="30"/>
  <c r="H348" i="30"/>
  <c r="K118" i="30" l="1"/>
  <c r="K114" i="30" s="1"/>
  <c r="H264" i="30"/>
  <c r="J114" i="30"/>
  <c r="D107" i="2" l="1"/>
  <c r="D108" i="2"/>
  <c r="D106" i="2"/>
  <c r="C107" i="2"/>
  <c r="C108" i="2"/>
  <c r="C106" i="2"/>
  <c r="D115" i="2"/>
  <c r="D116" i="2"/>
  <c r="D114" i="2"/>
  <c r="C115" i="2"/>
  <c r="C116" i="2"/>
  <c r="C114" i="2"/>
  <c r="D110" i="2"/>
  <c r="C110" i="2"/>
  <c r="E98" i="2"/>
  <c r="E99" i="2"/>
  <c r="E100" i="2"/>
  <c r="D78" i="2"/>
  <c r="E78" i="2" s="1"/>
  <c r="D79" i="2"/>
  <c r="E79" i="2" s="1"/>
  <c r="D77" i="2"/>
  <c r="E77" i="2" s="1"/>
  <c r="C74" i="2"/>
  <c r="E74" i="2" s="1"/>
  <c r="C75" i="2"/>
  <c r="E75" i="2" s="1"/>
  <c r="C73" i="2"/>
  <c r="E73" i="2" s="1"/>
  <c r="D162" i="2"/>
  <c r="E162" i="2" s="1"/>
  <c r="D160" i="2"/>
  <c r="E160" i="2" s="1"/>
  <c r="E171" i="2"/>
  <c r="E17" i="2"/>
  <c r="E18" i="2"/>
  <c r="E19" i="2"/>
  <c r="E25" i="2"/>
  <c r="E26" i="2"/>
  <c r="E27" i="2"/>
  <c r="E37" i="2"/>
  <c r="E38" i="2"/>
  <c r="E39" i="2"/>
  <c r="E40" i="2"/>
  <c r="E41" i="2"/>
  <c r="E42" i="2"/>
  <c r="E43" i="2"/>
  <c r="E108" i="2" l="1"/>
  <c r="D102" i="2"/>
  <c r="D93" i="2" s="1"/>
  <c r="E115" i="2"/>
  <c r="E106" i="2"/>
  <c r="E116" i="2"/>
  <c r="E114" i="2"/>
  <c r="E107" i="2"/>
  <c r="E110" i="2"/>
  <c r="C102" i="2"/>
  <c r="C93" i="2" s="1"/>
  <c r="E102" i="2" l="1"/>
  <c r="E93" i="2"/>
  <c r="X17" i="62"/>
  <c r="C9" i="59" l="1"/>
  <c r="D9" i="59"/>
  <c r="E9" i="59"/>
  <c r="B9" i="59"/>
  <c r="D78" i="59"/>
  <c r="D27" i="59"/>
  <c r="E27" i="59"/>
  <c r="E31" i="59"/>
  <c r="C59" i="59"/>
  <c r="D59" i="59"/>
  <c r="E59" i="59"/>
  <c r="B59" i="59"/>
  <c r="D49" i="59"/>
  <c r="B82" i="59"/>
  <c r="B84" i="59" s="1"/>
  <c r="B44" i="59"/>
  <c r="B41" i="59"/>
  <c r="C37" i="59"/>
  <c r="D37" i="59"/>
  <c r="E37" i="59"/>
  <c r="F38" i="59"/>
  <c r="B25" i="59"/>
  <c r="B48" i="59" l="1"/>
  <c r="E39" i="59"/>
  <c r="B39" i="59"/>
  <c r="F37" i="59"/>
  <c r="D11" i="57" l="1"/>
  <c r="E11" i="57"/>
  <c r="F11" i="57"/>
  <c r="D8" i="57"/>
  <c r="E8" i="57"/>
  <c r="F8" i="57"/>
  <c r="C11" i="57"/>
  <c r="G7" i="57"/>
  <c r="G9" i="57"/>
  <c r="G10" i="57"/>
  <c r="G13" i="57"/>
  <c r="G14" i="57"/>
  <c r="G15" i="57"/>
  <c r="G16" i="57"/>
  <c r="G17" i="57"/>
  <c r="G18" i="57"/>
  <c r="G21" i="57"/>
  <c r="G23" i="57"/>
  <c r="C8" i="57"/>
  <c r="G6" i="57"/>
  <c r="I39" i="54"/>
  <c r="I41" i="54"/>
  <c r="I42" i="54"/>
  <c r="I43" i="54"/>
  <c r="I40" i="54"/>
  <c r="I36" i="54"/>
  <c r="A20" i="54"/>
  <c r="A24" i="54" s="1"/>
  <c r="A40" i="54" s="1"/>
  <c r="G8" i="57" l="1"/>
  <c r="G11" i="57"/>
  <c r="D12" i="53" l="1"/>
  <c r="C138" i="2"/>
  <c r="E138" i="2" s="1"/>
  <c r="C112" i="2"/>
  <c r="D111" i="2"/>
  <c r="D103" i="2" s="1"/>
  <c r="D94" i="2" s="1"/>
  <c r="G819" i="50"/>
  <c r="D70" i="2" s="1"/>
  <c r="E70" i="2" s="1"/>
  <c r="G820" i="50"/>
  <c r="G818" i="50"/>
  <c r="C66" i="2"/>
  <c r="E66" i="2" s="1"/>
  <c r="C67" i="2"/>
  <c r="E67" i="2" s="1"/>
  <c r="C65" i="2"/>
  <c r="E65" i="2" s="1"/>
  <c r="G722" i="50"/>
  <c r="G710" i="50" s="1"/>
  <c r="D63" i="2" s="1"/>
  <c r="G720" i="50"/>
  <c r="G708" i="50" s="1"/>
  <c r="D61" i="2" s="1"/>
  <c r="H726" i="50"/>
  <c r="H724" i="50"/>
  <c r="F721" i="50"/>
  <c r="F722" i="50"/>
  <c r="F710" i="50" s="1"/>
  <c r="C63" i="2" s="1"/>
  <c r="F720" i="50"/>
  <c r="H720" i="50" s="1"/>
  <c r="H692" i="50"/>
  <c r="H693" i="50"/>
  <c r="H695" i="50"/>
  <c r="H696" i="50"/>
  <c r="H697" i="50"/>
  <c r="H703" i="50"/>
  <c r="H704" i="50"/>
  <c r="H705" i="50"/>
  <c r="H706" i="50"/>
  <c r="H691" i="50"/>
  <c r="F688" i="50"/>
  <c r="F689" i="50"/>
  <c r="F687" i="50"/>
  <c r="H684" i="50"/>
  <c r="H685" i="50"/>
  <c r="H683" i="50"/>
  <c r="H645" i="50"/>
  <c r="H663" i="50"/>
  <c r="H664" i="50"/>
  <c r="H665" i="50"/>
  <c r="H648" i="50"/>
  <c r="H627" i="50"/>
  <c r="H628" i="50"/>
  <c r="H629" i="50"/>
  <c r="H631" i="50"/>
  <c r="H632" i="50"/>
  <c r="H633" i="50"/>
  <c r="H635" i="50"/>
  <c r="H636" i="50"/>
  <c r="H637" i="50"/>
  <c r="H639" i="50"/>
  <c r="H640" i="50"/>
  <c r="H641" i="50"/>
  <c r="H647" i="50"/>
  <c r="H649" i="50"/>
  <c r="H650" i="50"/>
  <c r="H651" i="50"/>
  <c r="H653" i="50"/>
  <c r="H654" i="50"/>
  <c r="H655" i="50"/>
  <c r="H656" i="50"/>
  <c r="H657" i="50"/>
  <c r="H658" i="50"/>
  <c r="H659" i="50"/>
  <c r="H660" i="50"/>
  <c r="H661" i="50"/>
  <c r="F599" i="50"/>
  <c r="G601" i="50"/>
  <c r="G600" i="50"/>
  <c r="F600" i="50"/>
  <c r="F601" i="50"/>
  <c r="H603" i="50"/>
  <c r="H604" i="50"/>
  <c r="H605" i="50"/>
  <c r="H607" i="50"/>
  <c r="H608" i="50"/>
  <c r="H609" i="50"/>
  <c r="H611" i="50"/>
  <c r="H612" i="50"/>
  <c r="H613" i="50"/>
  <c r="H615" i="50"/>
  <c r="H616" i="50"/>
  <c r="H617" i="50"/>
  <c r="H619" i="50"/>
  <c r="H620" i="50"/>
  <c r="H621" i="50"/>
  <c r="H623" i="50"/>
  <c r="H624" i="50"/>
  <c r="H625" i="50"/>
  <c r="G599" i="50"/>
  <c r="F331" i="50"/>
  <c r="H331" i="50" s="1"/>
  <c r="H344" i="50"/>
  <c r="F132" i="50"/>
  <c r="F372" i="50"/>
  <c r="H372" i="50" s="1"/>
  <c r="F47" i="32"/>
  <c r="F46" i="32"/>
  <c r="E48" i="32"/>
  <c r="D48" i="32"/>
  <c r="G48" i="32"/>
  <c r="H48" i="32"/>
  <c r="I48" i="32"/>
  <c r="E47" i="32"/>
  <c r="D47" i="32"/>
  <c r="G47" i="32"/>
  <c r="H47" i="32"/>
  <c r="I47" i="32"/>
  <c r="M47" i="32"/>
  <c r="E46" i="32"/>
  <c r="D46" i="32"/>
  <c r="G46" i="32"/>
  <c r="H46" i="32"/>
  <c r="I46" i="32"/>
  <c r="M46" i="32"/>
  <c r="G484" i="50"/>
  <c r="G472" i="50" s="1"/>
  <c r="G483" i="50"/>
  <c r="F483" i="50"/>
  <c r="F471" i="50" s="1"/>
  <c r="F484" i="50"/>
  <c r="G482" i="50"/>
  <c r="G470" i="50" s="1"/>
  <c r="F482" i="50"/>
  <c r="F470" i="50" s="1"/>
  <c r="G480" i="50"/>
  <c r="G588" i="50" s="1"/>
  <c r="G479" i="50"/>
  <c r="G587" i="50" s="1"/>
  <c r="F479" i="50"/>
  <c r="F467" i="50" s="1"/>
  <c r="F480" i="50"/>
  <c r="F468" i="50" s="1"/>
  <c r="G478" i="50"/>
  <c r="F478" i="50"/>
  <c r="F466" i="50" s="1"/>
  <c r="H477" i="50"/>
  <c r="H481" i="50"/>
  <c r="E44" i="32"/>
  <c r="D44" i="32"/>
  <c r="G44" i="32"/>
  <c r="H44" i="32"/>
  <c r="I44" i="32"/>
  <c r="M44" i="32"/>
  <c r="E43" i="32"/>
  <c r="D43" i="32"/>
  <c r="G43" i="32"/>
  <c r="H43" i="32"/>
  <c r="I43" i="32"/>
  <c r="M43" i="32"/>
  <c r="M39" i="32" s="1"/>
  <c r="E42" i="32"/>
  <c r="D42" i="32"/>
  <c r="G42" i="32"/>
  <c r="H42" i="32"/>
  <c r="I42" i="32"/>
  <c r="M42" i="32"/>
  <c r="F152" i="50"/>
  <c r="H400" i="50"/>
  <c r="F296" i="50"/>
  <c r="H296" i="50" s="1"/>
  <c r="G231" i="50"/>
  <c r="G232" i="50"/>
  <c r="F231" i="50"/>
  <c r="H231" i="50" s="1"/>
  <c r="F232" i="50"/>
  <c r="H232" i="50" s="1"/>
  <c r="G230" i="50"/>
  <c r="F230" i="50"/>
  <c r="H230" i="50" s="1"/>
  <c r="G227" i="50"/>
  <c r="G228" i="50"/>
  <c r="F227" i="50"/>
  <c r="H227" i="50" s="1"/>
  <c r="F228" i="50"/>
  <c r="G226" i="50"/>
  <c r="F226" i="50"/>
  <c r="G235" i="50"/>
  <c r="G236" i="50"/>
  <c r="F235" i="50"/>
  <c r="H235" i="50" s="1"/>
  <c r="F236" i="50"/>
  <c r="H236" i="50" s="1"/>
  <c r="G234" i="50"/>
  <c r="F234" i="50"/>
  <c r="H234" i="50" s="1"/>
  <c r="G247" i="50"/>
  <c r="G248" i="50"/>
  <c r="F247" i="50"/>
  <c r="H247" i="50" s="1"/>
  <c r="F248" i="50"/>
  <c r="H248" i="50" s="1"/>
  <c r="G246" i="50"/>
  <c r="F246" i="50"/>
  <c r="H246" i="50" s="1"/>
  <c r="G259" i="50"/>
  <c r="G260" i="50"/>
  <c r="G258" i="50"/>
  <c r="F259" i="50"/>
  <c r="H259" i="50" s="1"/>
  <c r="F260" i="50"/>
  <c r="H260" i="50" s="1"/>
  <c r="F258" i="50"/>
  <c r="H258" i="50" s="1"/>
  <c r="H238" i="50"/>
  <c r="H239" i="50"/>
  <c r="H240" i="50"/>
  <c r="H242" i="50"/>
  <c r="H243" i="50"/>
  <c r="H244" i="50"/>
  <c r="H250" i="50"/>
  <c r="H251" i="50"/>
  <c r="H252" i="50"/>
  <c r="H254" i="50"/>
  <c r="H255" i="50"/>
  <c r="H256" i="50"/>
  <c r="H262" i="50"/>
  <c r="H263" i="50"/>
  <c r="H264" i="50"/>
  <c r="H266" i="50"/>
  <c r="H267" i="50"/>
  <c r="H268" i="50"/>
  <c r="E24" i="32"/>
  <c r="D24" i="32"/>
  <c r="G24" i="32"/>
  <c r="H24" i="32"/>
  <c r="I24" i="32"/>
  <c r="L24" i="32"/>
  <c r="M24" i="32"/>
  <c r="E23" i="32"/>
  <c r="D23" i="32"/>
  <c r="G23" i="32"/>
  <c r="H23" i="32"/>
  <c r="I23" i="32"/>
  <c r="L23" i="32"/>
  <c r="F23" i="32"/>
  <c r="E22" i="32"/>
  <c r="D22" i="32"/>
  <c r="G22" i="32"/>
  <c r="H22" i="32"/>
  <c r="I22" i="32"/>
  <c r="M22" i="32"/>
  <c r="F22" i="32"/>
  <c r="G12" i="32"/>
  <c r="H12" i="32"/>
  <c r="I12" i="32"/>
  <c r="M12" i="32"/>
  <c r="G11" i="32"/>
  <c r="H11" i="32"/>
  <c r="I11" i="32"/>
  <c r="M11" i="32"/>
  <c r="N17" i="32"/>
  <c r="N18" i="32"/>
  <c r="N19" i="32"/>
  <c r="N20" i="32"/>
  <c r="G403" i="50"/>
  <c r="G404" i="50"/>
  <c r="H404" i="50"/>
  <c r="G402" i="50"/>
  <c r="H402" i="50"/>
  <c r="G391" i="50"/>
  <c r="G392" i="50"/>
  <c r="F391" i="50"/>
  <c r="H391" i="50" s="1"/>
  <c r="G390" i="50"/>
  <c r="F390" i="50"/>
  <c r="H390" i="50" s="1"/>
  <c r="G379" i="50"/>
  <c r="G380" i="50"/>
  <c r="H379" i="50"/>
  <c r="H380" i="50"/>
  <c r="G378" i="50"/>
  <c r="H378" i="50"/>
  <c r="H382" i="50"/>
  <c r="H383" i="50"/>
  <c r="H384" i="50"/>
  <c r="H386" i="50"/>
  <c r="H387" i="50"/>
  <c r="H388" i="50"/>
  <c r="H394" i="50"/>
  <c r="H395" i="50"/>
  <c r="H396" i="50"/>
  <c r="H398" i="50"/>
  <c r="H399" i="50"/>
  <c r="H403" i="50"/>
  <c r="H406" i="50"/>
  <c r="H407" i="50"/>
  <c r="H408" i="50"/>
  <c r="H410" i="50"/>
  <c r="H411" i="50"/>
  <c r="H412" i="50"/>
  <c r="F375" i="50"/>
  <c r="H375" i="50" s="1"/>
  <c r="G375" i="50"/>
  <c r="G376" i="50"/>
  <c r="G374" i="50"/>
  <c r="F374" i="50"/>
  <c r="H374" i="50" s="1"/>
  <c r="G371" i="50"/>
  <c r="G367" i="50" s="1"/>
  <c r="G372" i="50"/>
  <c r="G370" i="50"/>
  <c r="F371" i="50"/>
  <c r="H371" i="50" s="1"/>
  <c r="H370" i="50"/>
  <c r="G355" i="50"/>
  <c r="G356" i="50"/>
  <c r="F355" i="50"/>
  <c r="H355" i="50" s="1"/>
  <c r="F356" i="50"/>
  <c r="H356" i="50" s="1"/>
  <c r="G354" i="50"/>
  <c r="F354" i="50"/>
  <c r="H354" i="50" s="1"/>
  <c r="H343" i="50"/>
  <c r="G343" i="50"/>
  <c r="G344" i="50"/>
  <c r="G342" i="50"/>
  <c r="H342" i="50"/>
  <c r="H334" i="50"/>
  <c r="H335" i="50"/>
  <c r="H336" i="50"/>
  <c r="H338" i="50"/>
  <c r="H339" i="50"/>
  <c r="H340" i="50"/>
  <c r="H346" i="50"/>
  <c r="H347" i="50"/>
  <c r="H350" i="50"/>
  <c r="H351" i="50"/>
  <c r="H352" i="50"/>
  <c r="H358" i="50"/>
  <c r="H359" i="50"/>
  <c r="H360" i="50"/>
  <c r="H362" i="50"/>
  <c r="H363" i="50"/>
  <c r="H364" i="50"/>
  <c r="G331" i="50"/>
  <c r="G332" i="50"/>
  <c r="G330" i="50"/>
  <c r="F332" i="50"/>
  <c r="H332" i="50" s="1"/>
  <c r="F330" i="50"/>
  <c r="H330" i="50" s="1"/>
  <c r="G327" i="50"/>
  <c r="G328" i="50"/>
  <c r="F326" i="50"/>
  <c r="H326" i="50" s="1"/>
  <c r="G326" i="50"/>
  <c r="F327" i="50"/>
  <c r="F328" i="50"/>
  <c r="H328" i="50" s="1"/>
  <c r="F323" i="50"/>
  <c r="H323" i="50" s="1"/>
  <c r="G323" i="50"/>
  <c r="G324" i="50"/>
  <c r="G322" i="50"/>
  <c r="F322" i="50"/>
  <c r="H322" i="50" s="1"/>
  <c r="G211" i="50"/>
  <c r="G179" i="50" s="1"/>
  <c r="G212" i="50"/>
  <c r="G180" i="50" s="1"/>
  <c r="F211" i="50"/>
  <c r="F179" i="50" s="1"/>
  <c r="F212" i="50"/>
  <c r="G210" i="50"/>
  <c r="G178" i="50" s="1"/>
  <c r="F210" i="50"/>
  <c r="F178" i="50" s="1"/>
  <c r="G199" i="50"/>
  <c r="G200" i="50"/>
  <c r="F199" i="50"/>
  <c r="F200" i="50"/>
  <c r="G198" i="50"/>
  <c r="F198" i="50"/>
  <c r="G187" i="50"/>
  <c r="G188" i="50"/>
  <c r="G186" i="50"/>
  <c r="F187" i="50"/>
  <c r="F188" i="50"/>
  <c r="F186" i="50"/>
  <c r="G183" i="50"/>
  <c r="G184" i="50"/>
  <c r="G182" i="50"/>
  <c r="F183" i="50"/>
  <c r="F184" i="50"/>
  <c r="F182" i="50"/>
  <c r="H177" i="50"/>
  <c r="H181" i="50"/>
  <c r="H189" i="50"/>
  <c r="H190" i="50"/>
  <c r="H191" i="50"/>
  <c r="H192" i="50"/>
  <c r="H193" i="50"/>
  <c r="H194" i="50"/>
  <c r="H195" i="50"/>
  <c r="H196" i="50"/>
  <c r="H201" i="50"/>
  <c r="H202" i="50"/>
  <c r="H203" i="50"/>
  <c r="H204" i="50"/>
  <c r="H205" i="50"/>
  <c r="H206" i="50"/>
  <c r="H207" i="50"/>
  <c r="H208" i="50"/>
  <c r="H213" i="50"/>
  <c r="H214" i="50"/>
  <c r="H215" i="50"/>
  <c r="H216" i="50"/>
  <c r="H217" i="50"/>
  <c r="H218" i="50"/>
  <c r="H219" i="50"/>
  <c r="H220" i="50"/>
  <c r="H906" i="50"/>
  <c r="H900" i="50"/>
  <c r="H898" i="50"/>
  <c r="H853" i="50"/>
  <c r="H852" i="50"/>
  <c r="H851" i="50"/>
  <c r="H847" i="50"/>
  <c r="H844" i="50"/>
  <c r="H843" i="50"/>
  <c r="G840" i="50"/>
  <c r="F840" i="50"/>
  <c r="G839" i="50"/>
  <c r="F839" i="50"/>
  <c r="H837" i="50"/>
  <c r="H836" i="50"/>
  <c r="H835" i="50"/>
  <c r="H832" i="50"/>
  <c r="H831" i="50"/>
  <c r="H830" i="50"/>
  <c r="H828" i="50"/>
  <c r="H827" i="50"/>
  <c r="H826" i="50"/>
  <c r="H825" i="50"/>
  <c r="H824" i="50"/>
  <c r="H823" i="50"/>
  <c r="H816" i="50"/>
  <c r="H815" i="50"/>
  <c r="H814" i="50"/>
  <c r="H813" i="50"/>
  <c r="H812" i="50"/>
  <c r="H811" i="50"/>
  <c r="H802" i="50"/>
  <c r="H801" i="50"/>
  <c r="H800" i="50"/>
  <c r="H799" i="50"/>
  <c r="H798" i="50"/>
  <c r="H797" i="50"/>
  <c r="H795" i="50"/>
  <c r="H794" i="50"/>
  <c r="H793" i="50"/>
  <c r="H788" i="50"/>
  <c r="H787" i="50"/>
  <c r="H786" i="50"/>
  <c r="H785" i="50"/>
  <c r="H784" i="50"/>
  <c r="H783" i="50"/>
  <c r="H781" i="50"/>
  <c r="H780" i="50"/>
  <c r="H779" i="50"/>
  <c r="H778" i="50"/>
  <c r="H777" i="50"/>
  <c r="H776" i="50"/>
  <c r="H774" i="50"/>
  <c r="H773" i="50"/>
  <c r="H772" i="50"/>
  <c r="H771" i="50"/>
  <c r="H770" i="50"/>
  <c r="H769" i="50"/>
  <c r="H767" i="50"/>
  <c r="H766" i="50"/>
  <c r="H765" i="50"/>
  <c r="H764" i="50"/>
  <c r="H763" i="50"/>
  <c r="H762" i="50"/>
  <c r="H753" i="50"/>
  <c r="H752" i="50"/>
  <c r="H751" i="50"/>
  <c r="H746" i="50"/>
  <c r="H745" i="50"/>
  <c r="H744" i="50"/>
  <c r="H738" i="50"/>
  <c r="H737" i="50"/>
  <c r="H736" i="50"/>
  <c r="H735" i="50"/>
  <c r="H734" i="50"/>
  <c r="H733" i="50"/>
  <c r="H730" i="50"/>
  <c r="H729" i="50"/>
  <c r="H728" i="50"/>
  <c r="H718" i="50"/>
  <c r="H717" i="50"/>
  <c r="H716" i="50"/>
  <c r="G307" i="50"/>
  <c r="G308" i="50"/>
  <c r="F307" i="50"/>
  <c r="H307" i="50" s="1"/>
  <c r="F308" i="50"/>
  <c r="H308" i="50" s="1"/>
  <c r="G306" i="50"/>
  <c r="F306" i="50"/>
  <c r="H306" i="50" s="1"/>
  <c r="G296" i="50"/>
  <c r="G295" i="50"/>
  <c r="F295" i="50"/>
  <c r="H295" i="50" s="1"/>
  <c r="G294" i="50"/>
  <c r="H294" i="50" s="1"/>
  <c r="F283" i="50"/>
  <c r="H283" i="50" s="1"/>
  <c r="F284" i="50"/>
  <c r="G283" i="50"/>
  <c r="G284" i="50"/>
  <c r="G282" i="50"/>
  <c r="F282" i="50"/>
  <c r="H282" i="50" s="1"/>
  <c r="F279" i="50"/>
  <c r="H279" i="50" s="1"/>
  <c r="F280" i="50"/>
  <c r="H280" i="50" s="1"/>
  <c r="G279" i="50"/>
  <c r="G280" i="50"/>
  <c r="G278" i="50"/>
  <c r="F278" i="50"/>
  <c r="H278" i="50" s="1"/>
  <c r="G276" i="50"/>
  <c r="G275" i="50"/>
  <c r="G274" i="50"/>
  <c r="F275" i="50"/>
  <c r="F274" i="50"/>
  <c r="H274" i="50" s="1"/>
  <c r="H284" i="50"/>
  <c r="H286" i="50"/>
  <c r="H287" i="50"/>
  <c r="H288" i="50"/>
  <c r="H290" i="50"/>
  <c r="H291" i="50"/>
  <c r="H292" i="50"/>
  <c r="H298" i="50"/>
  <c r="H299" i="50"/>
  <c r="H301" i="50"/>
  <c r="H302" i="50"/>
  <c r="H303" i="50"/>
  <c r="H304" i="50"/>
  <c r="H310" i="50"/>
  <c r="H311" i="50"/>
  <c r="H312" i="50"/>
  <c r="H314" i="50"/>
  <c r="H315" i="50"/>
  <c r="H316" i="50"/>
  <c r="G164" i="50"/>
  <c r="G163" i="50"/>
  <c r="F163" i="50"/>
  <c r="F164" i="50"/>
  <c r="G162" i="50"/>
  <c r="F162" i="50"/>
  <c r="G151" i="50"/>
  <c r="G152" i="50"/>
  <c r="F151" i="50"/>
  <c r="G150" i="50"/>
  <c r="F150" i="50"/>
  <c r="G140" i="50"/>
  <c r="G139" i="50"/>
  <c r="F139" i="50"/>
  <c r="F140" i="50"/>
  <c r="G138" i="50"/>
  <c r="F138" i="50"/>
  <c r="H141" i="50"/>
  <c r="H142" i="50"/>
  <c r="H143" i="50"/>
  <c r="H144" i="50"/>
  <c r="H145" i="50"/>
  <c r="H146" i="50"/>
  <c r="H147" i="50"/>
  <c r="H148" i="50"/>
  <c r="H149" i="50"/>
  <c r="H153" i="50"/>
  <c r="H154" i="50"/>
  <c r="H155" i="50"/>
  <c r="H156" i="50"/>
  <c r="H157" i="50"/>
  <c r="H158" i="50"/>
  <c r="H159" i="50"/>
  <c r="H165" i="50"/>
  <c r="H166" i="50"/>
  <c r="H167" i="50"/>
  <c r="H168" i="50"/>
  <c r="H169" i="50"/>
  <c r="H170" i="50"/>
  <c r="H171" i="50"/>
  <c r="H172" i="50"/>
  <c r="G136" i="50"/>
  <c r="G135" i="50"/>
  <c r="F135" i="50"/>
  <c r="G134" i="50"/>
  <c r="F134" i="50"/>
  <c r="G131" i="50"/>
  <c r="G132" i="50"/>
  <c r="F131" i="50"/>
  <c r="G130" i="50"/>
  <c r="F130" i="50"/>
  <c r="H91" i="50"/>
  <c r="H92" i="50"/>
  <c r="H93" i="50"/>
  <c r="H94" i="50"/>
  <c r="H95" i="50"/>
  <c r="H96" i="50"/>
  <c r="H97" i="50"/>
  <c r="H98" i="50"/>
  <c r="H99" i="50"/>
  <c r="H100" i="50"/>
  <c r="H102" i="50"/>
  <c r="H103" i="50"/>
  <c r="H104" i="50"/>
  <c r="H105" i="50"/>
  <c r="H106" i="50"/>
  <c r="H107" i="50"/>
  <c r="H108" i="50"/>
  <c r="H109" i="50"/>
  <c r="H110" i="50"/>
  <c r="H111" i="50"/>
  <c r="H112" i="50"/>
  <c r="H114" i="50"/>
  <c r="H115" i="50"/>
  <c r="H116" i="50"/>
  <c r="H117" i="50"/>
  <c r="H118" i="50"/>
  <c r="H119" i="50"/>
  <c r="H120" i="50"/>
  <c r="H121" i="50"/>
  <c r="H122" i="50"/>
  <c r="H123" i="50"/>
  <c r="H124" i="50"/>
  <c r="H90" i="50"/>
  <c r="F88" i="50"/>
  <c r="G511" i="50"/>
  <c r="G512" i="50"/>
  <c r="F511" i="50"/>
  <c r="F512" i="50"/>
  <c r="G510" i="50"/>
  <c r="F510" i="50"/>
  <c r="F500" i="50"/>
  <c r="G500" i="50"/>
  <c r="G499" i="50"/>
  <c r="F499" i="50"/>
  <c r="G498" i="50"/>
  <c r="F498" i="50"/>
  <c r="G487" i="50"/>
  <c r="G488" i="50"/>
  <c r="F487" i="50"/>
  <c r="F488" i="50"/>
  <c r="G486" i="50"/>
  <c r="F486" i="50"/>
  <c r="H489" i="50"/>
  <c r="H490" i="50"/>
  <c r="H491" i="50"/>
  <c r="H492" i="50"/>
  <c r="H493" i="50"/>
  <c r="H494" i="50"/>
  <c r="H495" i="50"/>
  <c r="H496" i="50"/>
  <c r="H501" i="50"/>
  <c r="H502" i="50"/>
  <c r="H503" i="50"/>
  <c r="H504" i="50"/>
  <c r="H505" i="50"/>
  <c r="H506" i="50"/>
  <c r="H507" i="50"/>
  <c r="H508" i="50"/>
  <c r="H513" i="50"/>
  <c r="H514" i="50"/>
  <c r="H515" i="50"/>
  <c r="H516" i="50"/>
  <c r="H517" i="50"/>
  <c r="H518" i="50"/>
  <c r="H519" i="50"/>
  <c r="H520" i="50"/>
  <c r="F451" i="50"/>
  <c r="F35" i="32" s="1"/>
  <c r="F452" i="50"/>
  <c r="F36" i="32" s="1"/>
  <c r="G451" i="50"/>
  <c r="G452" i="50"/>
  <c r="G450" i="50"/>
  <c r="F450" i="50"/>
  <c r="F34" i="32" s="1"/>
  <c r="F438" i="50"/>
  <c r="G438" i="50"/>
  <c r="G439" i="50"/>
  <c r="G437" i="50"/>
  <c r="F437" i="50"/>
  <c r="H429" i="50"/>
  <c r="H430" i="50"/>
  <c r="H431" i="50"/>
  <c r="H432" i="50"/>
  <c r="H433" i="50"/>
  <c r="H434" i="50"/>
  <c r="H435" i="50"/>
  <c r="H436" i="50"/>
  <c r="H440" i="50"/>
  <c r="H441" i="50"/>
  <c r="H442" i="50"/>
  <c r="H443" i="50"/>
  <c r="H445" i="50"/>
  <c r="H446" i="50"/>
  <c r="H447" i="50"/>
  <c r="H448" i="50"/>
  <c r="H453" i="50"/>
  <c r="H454" i="50"/>
  <c r="H455" i="50"/>
  <c r="H456" i="50"/>
  <c r="H457" i="50"/>
  <c r="H458" i="50"/>
  <c r="H459" i="50"/>
  <c r="G428" i="50"/>
  <c r="G427" i="50"/>
  <c r="G426" i="50"/>
  <c r="F427" i="50"/>
  <c r="F428" i="50"/>
  <c r="F426" i="50"/>
  <c r="G423" i="50"/>
  <c r="G424" i="50"/>
  <c r="F423" i="50"/>
  <c r="F424" i="50"/>
  <c r="G422" i="50"/>
  <c r="F422" i="50"/>
  <c r="G420" i="50"/>
  <c r="G419" i="50"/>
  <c r="G418" i="50"/>
  <c r="F419" i="50"/>
  <c r="H413" i="50"/>
  <c r="G87" i="50"/>
  <c r="G88" i="50"/>
  <c r="G86" i="50"/>
  <c r="F87" i="50"/>
  <c r="F86" i="50"/>
  <c r="G84" i="50"/>
  <c r="G83" i="50"/>
  <c r="G82" i="50"/>
  <c r="F84" i="50"/>
  <c r="F83" i="50"/>
  <c r="F82" i="50"/>
  <c r="F571" i="50"/>
  <c r="L35" i="32" s="1"/>
  <c r="L43" i="32" s="1"/>
  <c r="F572" i="50"/>
  <c r="L36" i="32" s="1"/>
  <c r="G571" i="50"/>
  <c r="G572" i="50"/>
  <c r="G570" i="50"/>
  <c r="F570" i="50"/>
  <c r="L34" i="32" s="1"/>
  <c r="G559" i="50"/>
  <c r="G560" i="50"/>
  <c r="G558" i="50"/>
  <c r="F558" i="50"/>
  <c r="L26" i="32" s="1"/>
  <c r="L22" i="32" s="1"/>
  <c r="G548" i="50"/>
  <c r="G547" i="50"/>
  <c r="F547" i="50"/>
  <c r="F548" i="50"/>
  <c r="G546" i="50"/>
  <c r="F546" i="50"/>
  <c r="G544" i="50"/>
  <c r="G532" i="50" s="1"/>
  <c r="G543" i="50"/>
  <c r="G531" i="50" s="1"/>
  <c r="F531" i="50"/>
  <c r="F532" i="50"/>
  <c r="G542" i="50"/>
  <c r="G530" i="50" s="1"/>
  <c r="F542" i="50"/>
  <c r="F530" i="50" s="1"/>
  <c r="G540" i="50"/>
  <c r="G539" i="50"/>
  <c r="G538" i="50"/>
  <c r="F527" i="50"/>
  <c r="H549" i="50"/>
  <c r="H550" i="50"/>
  <c r="H551" i="50"/>
  <c r="H552" i="50"/>
  <c r="H553" i="50"/>
  <c r="H554" i="50"/>
  <c r="H555" i="50"/>
  <c r="H556" i="50"/>
  <c r="H562" i="50"/>
  <c r="H563" i="50"/>
  <c r="H564" i="50"/>
  <c r="H565" i="50"/>
  <c r="H566" i="50"/>
  <c r="H567" i="50"/>
  <c r="H568" i="50"/>
  <c r="H573" i="50"/>
  <c r="H574" i="50"/>
  <c r="H575" i="50"/>
  <c r="H576" i="50"/>
  <c r="H577" i="50"/>
  <c r="H578" i="50"/>
  <c r="H579" i="50"/>
  <c r="H580" i="50"/>
  <c r="AB43" i="62"/>
  <c r="AF42" i="62"/>
  <c r="AD41" i="62"/>
  <c r="Z41" i="62"/>
  <c r="Z43" i="62" s="1"/>
  <c r="X41" i="62"/>
  <c r="AF40" i="62"/>
  <c r="AF39" i="62"/>
  <c r="AD36" i="62"/>
  <c r="AD37" i="62" s="1"/>
  <c r="AD38" i="62" s="1"/>
  <c r="AB36" i="62"/>
  <c r="AB37" i="62" s="1"/>
  <c r="AB38" i="62" s="1"/>
  <c r="Z36" i="62"/>
  <c r="Z37" i="62" s="1"/>
  <c r="Z38" i="62" s="1"/>
  <c r="X36" i="62"/>
  <c r="AF35" i="62"/>
  <c r="AF34" i="62"/>
  <c r="AF33" i="62"/>
  <c r="AF32" i="62"/>
  <c r="X31" i="62"/>
  <c r="AF30" i="62"/>
  <c r="AF27" i="62"/>
  <c r="AF26" i="62"/>
  <c r="X25" i="62"/>
  <c r="X21" i="62"/>
  <c r="AF20" i="62"/>
  <c r="AG17" i="62"/>
  <c r="AF14" i="62"/>
  <c r="X12" i="62"/>
  <c r="AF11" i="62"/>
  <c r="AF10" i="62"/>
  <c r="AG9" i="62"/>
  <c r="AF8" i="62"/>
  <c r="AF7" i="62"/>
  <c r="AF5" i="62"/>
  <c r="E93" i="59"/>
  <c r="D93" i="59"/>
  <c r="C93" i="59"/>
  <c r="F92" i="59"/>
  <c r="F91" i="59"/>
  <c r="E88" i="59"/>
  <c r="D88" i="59"/>
  <c r="D89" i="59" s="1"/>
  <c r="F86" i="59"/>
  <c r="F85" i="59"/>
  <c r="F83" i="59"/>
  <c r="F80" i="59"/>
  <c r="F79" i="59"/>
  <c r="C78" i="59"/>
  <c r="F77" i="59"/>
  <c r="F76" i="59"/>
  <c r="F75" i="59"/>
  <c r="F73" i="59"/>
  <c r="F72" i="59"/>
  <c r="B71" i="59"/>
  <c r="B74" i="59" s="1"/>
  <c r="E70" i="59"/>
  <c r="E71" i="59" s="1"/>
  <c r="D70" i="59"/>
  <c r="D71" i="59" s="1"/>
  <c r="C70" i="59"/>
  <c r="C71" i="59" s="1"/>
  <c r="F69" i="59"/>
  <c r="E68" i="59"/>
  <c r="D68" i="59"/>
  <c r="C68" i="59"/>
  <c r="E66" i="59"/>
  <c r="D66" i="59"/>
  <c r="C66" i="59"/>
  <c r="B66" i="59"/>
  <c r="F65" i="59"/>
  <c r="E64" i="59"/>
  <c r="D63" i="59"/>
  <c r="C63" i="59"/>
  <c r="B63" i="59"/>
  <c r="F62" i="59"/>
  <c r="D61" i="59"/>
  <c r="C61" i="59"/>
  <c r="B61" i="59"/>
  <c r="F60" i="59"/>
  <c r="F59" i="59"/>
  <c r="F57" i="59"/>
  <c r="E55" i="59"/>
  <c r="D55" i="59"/>
  <c r="C55" i="59"/>
  <c r="B55" i="59"/>
  <c r="B56" i="59" s="1"/>
  <c r="F54" i="59"/>
  <c r="F53" i="59"/>
  <c r="F52" i="59"/>
  <c r="F49" i="59"/>
  <c r="E48" i="59"/>
  <c r="D48" i="59"/>
  <c r="C48" i="59"/>
  <c r="F47" i="59"/>
  <c r="F45" i="59"/>
  <c r="F44" i="59"/>
  <c r="F43" i="59"/>
  <c r="F42" i="59"/>
  <c r="F41" i="59"/>
  <c r="F40" i="59"/>
  <c r="F36" i="59"/>
  <c r="F35" i="59"/>
  <c r="C34" i="59"/>
  <c r="C31" i="59" s="1"/>
  <c r="F31" i="59" s="1"/>
  <c r="F33" i="59"/>
  <c r="F32" i="59"/>
  <c r="F30" i="59"/>
  <c r="F29" i="59"/>
  <c r="E25" i="59"/>
  <c r="D25" i="59"/>
  <c r="C25" i="59"/>
  <c r="F23" i="59"/>
  <c r="E22" i="59"/>
  <c r="D22" i="59"/>
  <c r="C22" i="59"/>
  <c r="B22" i="59"/>
  <c r="F21" i="59"/>
  <c r="E19" i="59"/>
  <c r="E20" i="59" s="1"/>
  <c r="D19" i="59"/>
  <c r="D20" i="59" s="1"/>
  <c r="C19" i="59"/>
  <c r="C20" i="59" s="1"/>
  <c r="B19" i="59"/>
  <c r="F18" i="59"/>
  <c r="B16" i="59"/>
  <c r="F16" i="59" s="1"/>
  <c r="F15" i="59"/>
  <c r="F14" i="59"/>
  <c r="E13" i="59"/>
  <c r="E17" i="59" s="1"/>
  <c r="D13" i="59"/>
  <c r="D17" i="59" s="1"/>
  <c r="C13" i="59"/>
  <c r="C17" i="59" s="1"/>
  <c r="B13" i="59"/>
  <c r="F12" i="59"/>
  <c r="F11" i="59"/>
  <c r="F10" i="59"/>
  <c r="F8" i="59"/>
  <c r="F19" i="57"/>
  <c r="F24" i="57" s="1"/>
  <c r="E19" i="57"/>
  <c r="E24" i="57" s="1"/>
  <c r="D19" i="57"/>
  <c r="D24" i="57" s="1"/>
  <c r="C19" i="57"/>
  <c r="C12" i="57"/>
  <c r="D12" i="57"/>
  <c r="H30" i="55"/>
  <c r="H29" i="55"/>
  <c r="H28" i="55"/>
  <c r="H7" i="55"/>
  <c r="H8" i="55"/>
  <c r="H6" i="55"/>
  <c r="G26" i="55"/>
  <c r="F26" i="55"/>
  <c r="E26" i="55"/>
  <c r="D26" i="55"/>
  <c r="C26" i="55"/>
  <c r="H25" i="55"/>
  <c r="H24" i="55"/>
  <c r="H23" i="55"/>
  <c r="G19" i="55"/>
  <c r="F19" i="55"/>
  <c r="E19" i="55"/>
  <c r="D19" i="55"/>
  <c r="C19" i="55"/>
  <c r="H18" i="55"/>
  <c r="H19" i="55" s="1"/>
  <c r="F9" i="55"/>
  <c r="E9" i="55"/>
  <c r="D9" i="55"/>
  <c r="G5" i="55"/>
  <c r="H5" i="55" s="1"/>
  <c r="H9" i="55" s="1"/>
  <c r="C12" i="53"/>
  <c r="B12" i="53"/>
  <c r="G127" i="50" l="1"/>
  <c r="G270" i="50"/>
  <c r="C64" i="59"/>
  <c r="AB44" i="62"/>
  <c r="Z44" i="62"/>
  <c r="G366" i="50"/>
  <c r="G534" i="50"/>
  <c r="C28" i="59"/>
  <c r="C27" i="59" s="1"/>
  <c r="C39" i="59" s="1"/>
  <c r="C56" i="59" s="1"/>
  <c r="L42" i="32"/>
  <c r="G467" i="50"/>
  <c r="H467" i="50" s="1"/>
  <c r="F15" i="32"/>
  <c r="H428" i="50"/>
  <c r="F16" i="32"/>
  <c r="F14" i="32"/>
  <c r="F10" i="32" s="1"/>
  <c r="F48" i="32"/>
  <c r="H39" i="32"/>
  <c r="E63" i="2"/>
  <c r="L46" i="32"/>
  <c r="L39" i="32"/>
  <c r="L44" i="32"/>
  <c r="AG36" i="62"/>
  <c r="AG12" i="62"/>
  <c r="AG21" i="62"/>
  <c r="AG31" i="62"/>
  <c r="AG25" i="62"/>
  <c r="X43" i="62"/>
  <c r="AG41" i="62"/>
  <c r="G9" i="55"/>
  <c r="H27" i="55"/>
  <c r="I39" i="32"/>
  <c r="E39" i="32"/>
  <c r="H819" i="50"/>
  <c r="F841" i="50"/>
  <c r="G39" i="32"/>
  <c r="G841" i="50"/>
  <c r="D112" i="2"/>
  <c r="D104" i="2" s="1"/>
  <c r="D95" i="2" s="1"/>
  <c r="H26" i="55"/>
  <c r="G19" i="57"/>
  <c r="C24" i="57"/>
  <c r="G24" i="57" s="1"/>
  <c r="E56" i="59"/>
  <c r="F46" i="59" s="1"/>
  <c r="H818" i="50"/>
  <c r="D69" i="2"/>
  <c r="E69" i="2" s="1"/>
  <c r="H848" i="50"/>
  <c r="H840" i="50" s="1"/>
  <c r="C111" i="2"/>
  <c r="H820" i="50"/>
  <c r="D71" i="2"/>
  <c r="E71" i="2" s="1"/>
  <c r="D39" i="32"/>
  <c r="C104" i="2"/>
  <c r="C95" i="2" s="1"/>
  <c r="AF31" i="62"/>
  <c r="AF41" i="62"/>
  <c r="X28" i="62"/>
  <c r="D74" i="59"/>
  <c r="D94" i="59" s="1"/>
  <c r="F25" i="59"/>
  <c r="F88" i="59"/>
  <c r="D39" i="59"/>
  <c r="F48" i="59"/>
  <c r="F61" i="59"/>
  <c r="F13" i="59"/>
  <c r="C26" i="59"/>
  <c r="D64" i="59"/>
  <c r="F9" i="59"/>
  <c r="F34" i="59"/>
  <c r="F66" i="59"/>
  <c r="D26" i="59"/>
  <c r="F19" i="59"/>
  <c r="F93" i="59"/>
  <c r="F78" i="59"/>
  <c r="F55" i="59"/>
  <c r="E26" i="59"/>
  <c r="F22" i="59"/>
  <c r="B64" i="59"/>
  <c r="F68" i="59"/>
  <c r="E74" i="59"/>
  <c r="B26" i="59"/>
  <c r="B20" i="59"/>
  <c r="F20" i="59" s="1"/>
  <c r="B17" i="59"/>
  <c r="H849" i="50"/>
  <c r="H680" i="50"/>
  <c r="G414" i="50"/>
  <c r="G721" i="50"/>
  <c r="G709" i="50" s="1"/>
  <c r="D62" i="2" s="1"/>
  <c r="H710" i="50"/>
  <c r="H725" i="50"/>
  <c r="H538" i="50"/>
  <c r="H183" i="50"/>
  <c r="H721" i="50"/>
  <c r="F709" i="50"/>
  <c r="C62" i="2" s="1"/>
  <c r="F708" i="50"/>
  <c r="F223" i="50"/>
  <c r="H223" i="50" s="1"/>
  <c r="H600" i="50"/>
  <c r="G71" i="50"/>
  <c r="H211" i="50"/>
  <c r="H478" i="50"/>
  <c r="H601" i="50"/>
  <c r="H597" i="50" s="1"/>
  <c r="F595" i="50"/>
  <c r="H548" i="50"/>
  <c r="H558" i="50"/>
  <c r="G475" i="50"/>
  <c r="F676" i="50"/>
  <c r="F677" i="50"/>
  <c r="H679" i="50"/>
  <c r="G471" i="50"/>
  <c r="H471" i="50" s="1"/>
  <c r="H187" i="50"/>
  <c r="F597" i="50"/>
  <c r="F675" i="50"/>
  <c r="H688" i="50"/>
  <c r="G675" i="50"/>
  <c r="G466" i="50"/>
  <c r="G462" i="50" s="1"/>
  <c r="D33" i="2" s="1"/>
  <c r="G468" i="50"/>
  <c r="G464" i="50" s="1"/>
  <c r="H160" i="50"/>
  <c r="G677" i="50"/>
  <c r="D59" i="2" s="1"/>
  <c r="H689" i="50"/>
  <c r="H687" i="50"/>
  <c r="G676" i="50"/>
  <c r="H681" i="50"/>
  <c r="H488" i="50"/>
  <c r="F224" i="50"/>
  <c r="H224" i="50" s="1"/>
  <c r="G224" i="50"/>
  <c r="G476" i="50"/>
  <c r="H599" i="50"/>
  <c r="H595" i="50" s="1"/>
  <c r="H451" i="50"/>
  <c r="H500" i="50"/>
  <c r="G222" i="50"/>
  <c r="G223" i="50"/>
  <c r="G586" i="50"/>
  <c r="G76" i="50"/>
  <c r="G592" i="50" s="1"/>
  <c r="G584" i="50" s="1"/>
  <c r="H198" i="50"/>
  <c r="H212" i="50"/>
  <c r="H479" i="50"/>
  <c r="G474" i="50"/>
  <c r="F420" i="50"/>
  <c r="F416" i="50" s="1"/>
  <c r="H179" i="50"/>
  <c r="H188" i="50"/>
  <c r="H480" i="50"/>
  <c r="H483" i="50"/>
  <c r="F80" i="50"/>
  <c r="G75" i="50"/>
  <c r="G591" i="50" s="1"/>
  <c r="G583" i="50" s="1"/>
  <c r="H210" i="50"/>
  <c r="G368" i="50"/>
  <c r="H348" i="50"/>
  <c r="G70" i="50"/>
  <c r="F475" i="50"/>
  <c r="F476" i="50"/>
  <c r="F136" i="50"/>
  <c r="H136" i="50" s="1"/>
  <c r="G319" i="50"/>
  <c r="H228" i="50"/>
  <c r="F70" i="50"/>
  <c r="F472" i="50"/>
  <c r="F464" i="50" s="1"/>
  <c r="H484" i="50"/>
  <c r="H482" i="50"/>
  <c r="F474" i="50"/>
  <c r="F24" i="32"/>
  <c r="F324" i="50"/>
  <c r="H324" i="50" s="1"/>
  <c r="H438" i="50"/>
  <c r="F75" i="50"/>
  <c r="H444" i="50"/>
  <c r="F376" i="50"/>
  <c r="H376" i="50" s="1"/>
  <c r="F392" i="50"/>
  <c r="H392" i="50" s="1"/>
  <c r="H300" i="50"/>
  <c r="F276" i="50"/>
  <c r="H276" i="50" s="1"/>
  <c r="F222" i="50"/>
  <c r="H222" i="50" s="1"/>
  <c r="H226" i="50"/>
  <c r="F367" i="50"/>
  <c r="H367" i="50" s="1"/>
  <c r="F366" i="50"/>
  <c r="H366" i="50" s="1"/>
  <c r="F319" i="50"/>
  <c r="H319" i="50" s="1"/>
  <c r="H540" i="50"/>
  <c r="H135" i="50"/>
  <c r="H138" i="50"/>
  <c r="H162" i="50"/>
  <c r="H546" i="50"/>
  <c r="H571" i="50"/>
  <c r="F71" i="50"/>
  <c r="F587" i="50" s="1"/>
  <c r="F583" i="50" s="1"/>
  <c r="H741" i="50"/>
  <c r="H839" i="50"/>
  <c r="F180" i="50"/>
  <c r="H180" i="50" s="1"/>
  <c r="H186" i="50"/>
  <c r="H199" i="50"/>
  <c r="H327" i="50"/>
  <c r="G318" i="50"/>
  <c r="H178" i="50"/>
  <c r="H88" i="50"/>
  <c r="G175" i="50"/>
  <c r="G176" i="50"/>
  <c r="G320" i="50"/>
  <c r="F318" i="50"/>
  <c r="H318" i="50" s="1"/>
  <c r="F175" i="50"/>
  <c r="G174" i="50"/>
  <c r="H200" i="50"/>
  <c r="H184" i="50"/>
  <c r="G74" i="50"/>
  <c r="H182" i="50"/>
  <c r="F74" i="50"/>
  <c r="F174" i="50"/>
  <c r="G72" i="50"/>
  <c r="H132" i="50"/>
  <c r="H486" i="50"/>
  <c r="H499" i="50"/>
  <c r="H510" i="50"/>
  <c r="H130" i="50"/>
  <c r="H845" i="50"/>
  <c r="H539" i="50"/>
  <c r="G79" i="50"/>
  <c r="H722" i="50"/>
  <c r="F535" i="50"/>
  <c r="H543" i="50"/>
  <c r="H547" i="50"/>
  <c r="H83" i="50"/>
  <c r="G415" i="50"/>
  <c r="H426" i="50"/>
  <c r="F463" i="50"/>
  <c r="F271" i="50"/>
  <c r="H271" i="50" s="1"/>
  <c r="H542" i="50"/>
  <c r="G526" i="50"/>
  <c r="G522" i="50" s="1"/>
  <c r="H140" i="50"/>
  <c r="H151" i="50"/>
  <c r="H164" i="50"/>
  <c r="H572" i="50"/>
  <c r="H82" i="50"/>
  <c r="H487" i="50"/>
  <c r="H511" i="50"/>
  <c r="H139" i="50"/>
  <c r="H163" i="50"/>
  <c r="H275" i="50"/>
  <c r="H423" i="50"/>
  <c r="G128" i="50"/>
  <c r="G271" i="50"/>
  <c r="F415" i="50"/>
  <c r="G126" i="50"/>
  <c r="H131" i="50"/>
  <c r="G536" i="50"/>
  <c r="H559" i="50"/>
  <c r="H84" i="50"/>
  <c r="H470" i="50"/>
  <c r="G78" i="50"/>
  <c r="H422" i="50"/>
  <c r="H427" i="50"/>
  <c r="H439" i="50"/>
  <c r="H450" i="50"/>
  <c r="H452" i="50"/>
  <c r="H498" i="50"/>
  <c r="G272" i="50"/>
  <c r="H531" i="50"/>
  <c r="H87" i="50"/>
  <c r="F270" i="50"/>
  <c r="H270" i="50" s="1"/>
  <c r="F127" i="50"/>
  <c r="H152" i="50"/>
  <c r="H150" i="50"/>
  <c r="H134" i="50"/>
  <c r="F126" i="50"/>
  <c r="F462" i="50"/>
  <c r="H512" i="50"/>
  <c r="H532" i="50"/>
  <c r="H530" i="50"/>
  <c r="G527" i="50"/>
  <c r="G523" i="50" s="1"/>
  <c r="F523" i="50"/>
  <c r="F528" i="50"/>
  <c r="F524" i="50" s="1"/>
  <c r="H544" i="50"/>
  <c r="F526" i="50"/>
  <c r="G528" i="50"/>
  <c r="G524" i="50" s="1"/>
  <c r="H86" i="50"/>
  <c r="G80" i="50"/>
  <c r="G416" i="50"/>
  <c r="H424" i="50"/>
  <c r="F414" i="50"/>
  <c r="H419" i="50"/>
  <c r="H418" i="50"/>
  <c r="F78" i="50"/>
  <c r="F79" i="50"/>
  <c r="H570" i="50"/>
  <c r="H560" i="50"/>
  <c r="G535" i="50"/>
  <c r="F534" i="50"/>
  <c r="H534" i="50" s="1"/>
  <c r="F536" i="50"/>
  <c r="AF17" i="62"/>
  <c r="AF21" i="62"/>
  <c r="AF25" i="62"/>
  <c r="AF36" i="62"/>
  <c r="AF12" i="62"/>
  <c r="AD43" i="62"/>
  <c r="X37" i="62"/>
  <c r="AF9" i="62"/>
  <c r="F71" i="59"/>
  <c r="C74" i="59"/>
  <c r="B89" i="59"/>
  <c r="F63" i="59"/>
  <c r="F70" i="59"/>
  <c r="D20" i="57"/>
  <c r="D22" i="57"/>
  <c r="C22" i="57"/>
  <c r="C20" i="57"/>
  <c r="F12" i="57"/>
  <c r="E12" i="57"/>
  <c r="R242" i="30"/>
  <c r="M239" i="30"/>
  <c r="M240" i="30"/>
  <c r="M238" i="30"/>
  <c r="M235" i="30"/>
  <c r="M236" i="30"/>
  <c r="M234" i="30"/>
  <c r="R234" i="30" s="1"/>
  <c r="I17" i="54" s="1"/>
  <c r="F11" i="32" l="1"/>
  <c r="N11" i="32" s="1"/>
  <c r="N15" i="32"/>
  <c r="F44" i="32"/>
  <c r="N16" i="32"/>
  <c r="H127" i="50"/>
  <c r="H175" i="50"/>
  <c r="E67" i="59"/>
  <c r="F27" i="59"/>
  <c r="F39" i="59"/>
  <c r="F28" i="59"/>
  <c r="AF43" i="62"/>
  <c r="F42" i="32"/>
  <c r="F38" i="32" s="1"/>
  <c r="F855" i="50"/>
  <c r="AD44" i="62"/>
  <c r="F43" i="32"/>
  <c r="F39" i="32" s="1"/>
  <c r="E112" i="2"/>
  <c r="F12" i="32"/>
  <c r="N12" i="32" s="1"/>
  <c r="D51" i="2"/>
  <c r="AG28" i="62"/>
  <c r="AG43" i="62"/>
  <c r="AG37" i="62"/>
  <c r="H420" i="50"/>
  <c r="H472" i="50"/>
  <c r="F176" i="50"/>
  <c r="H176" i="50" s="1"/>
  <c r="G463" i="50"/>
  <c r="D34" i="2" s="1"/>
  <c r="D46" i="2" s="1"/>
  <c r="D56" i="59"/>
  <c r="D67" i="59" s="1"/>
  <c r="G856" i="50"/>
  <c r="G860" i="50" s="1"/>
  <c r="D58" i="2"/>
  <c r="G12" i="57"/>
  <c r="H526" i="50"/>
  <c r="C21" i="2"/>
  <c r="C33" i="2"/>
  <c r="E33" i="2" s="1"/>
  <c r="H466" i="50"/>
  <c r="C22" i="2"/>
  <c r="C34" i="2"/>
  <c r="D35" i="2"/>
  <c r="D23" i="2"/>
  <c r="E104" i="2"/>
  <c r="E95" i="2"/>
  <c r="F857" i="50"/>
  <c r="C55" i="2"/>
  <c r="H708" i="50"/>
  <c r="C61" i="2"/>
  <c r="E61" i="2" s="1"/>
  <c r="C103" i="2"/>
  <c r="E111" i="2"/>
  <c r="C35" i="2"/>
  <c r="C23" i="2"/>
  <c r="D13" i="2"/>
  <c r="D45" i="2"/>
  <c r="H414" i="50"/>
  <c r="H841" i="50"/>
  <c r="E59" i="2"/>
  <c r="D83" i="2"/>
  <c r="G855" i="50"/>
  <c r="D57" i="2"/>
  <c r="C53" i="2"/>
  <c r="E62" i="2"/>
  <c r="G857" i="50"/>
  <c r="G861" i="50" s="1"/>
  <c r="C67" i="59"/>
  <c r="AF37" i="62"/>
  <c r="AF28" i="62"/>
  <c r="F74" i="59"/>
  <c r="F64" i="59"/>
  <c r="F26" i="59"/>
  <c r="B94" i="59"/>
  <c r="B67" i="59"/>
  <c r="F17" i="59"/>
  <c r="H709" i="50"/>
  <c r="H675" i="50"/>
  <c r="H468" i="50"/>
  <c r="H475" i="50"/>
  <c r="H677" i="50"/>
  <c r="H474" i="50"/>
  <c r="H415" i="50"/>
  <c r="H676" i="50"/>
  <c r="H535" i="50"/>
  <c r="H476" i="50"/>
  <c r="H80" i="50"/>
  <c r="H126" i="50"/>
  <c r="G67" i="50"/>
  <c r="F582" i="50"/>
  <c r="G66" i="50"/>
  <c r="G590" i="50"/>
  <c r="G582" i="50" s="1"/>
  <c r="G68" i="50"/>
  <c r="H71" i="50"/>
  <c r="H587" i="50"/>
  <c r="H75" i="50"/>
  <c r="H70" i="50"/>
  <c r="H742" i="50"/>
  <c r="F128" i="50"/>
  <c r="H128" i="50" s="1"/>
  <c r="H464" i="50"/>
  <c r="F72" i="50"/>
  <c r="F588" i="50" s="1"/>
  <c r="F584" i="50" s="1"/>
  <c r="F320" i="50"/>
  <c r="H320" i="50" s="1"/>
  <c r="F76" i="50"/>
  <c r="F368" i="50"/>
  <c r="H368" i="50" s="1"/>
  <c r="F272" i="50"/>
  <c r="H272" i="50" s="1"/>
  <c r="H174" i="50"/>
  <c r="H462" i="50"/>
  <c r="F67" i="50"/>
  <c r="C30" i="2" s="1"/>
  <c r="E30" i="2" s="1"/>
  <c r="H79" i="50"/>
  <c r="H74" i="50"/>
  <c r="F66" i="50"/>
  <c r="C29" i="2" s="1"/>
  <c r="E29" i="2" s="1"/>
  <c r="H536" i="50"/>
  <c r="H78" i="50"/>
  <c r="H740" i="50"/>
  <c r="H524" i="50"/>
  <c r="H173" i="50"/>
  <c r="H523" i="50"/>
  <c r="F522" i="50"/>
  <c r="H522" i="50" s="1"/>
  <c r="H528" i="50"/>
  <c r="H527" i="50"/>
  <c r="H416" i="50"/>
  <c r="X38" i="62"/>
  <c r="F22" i="57"/>
  <c r="F20" i="57"/>
  <c r="E20" i="57"/>
  <c r="E22" i="57"/>
  <c r="N191" i="30"/>
  <c r="N190" i="30"/>
  <c r="D59" i="52"/>
  <c r="D55" i="52" s="1"/>
  <c r="D62" i="52" s="1"/>
  <c r="R244" i="30"/>
  <c r="F37" i="52"/>
  <c r="F8" i="52" s="1"/>
  <c r="F6" i="52" s="1"/>
  <c r="G144" i="30"/>
  <c r="G128" i="30" s="1"/>
  <c r="H144" i="30"/>
  <c r="H128" i="30" s="1"/>
  <c r="I144" i="30"/>
  <c r="J144" i="30"/>
  <c r="J120" i="30" s="1"/>
  <c r="J340" i="30" s="1"/>
  <c r="N144" i="30"/>
  <c r="N128" i="30" s="1"/>
  <c r="O144" i="30"/>
  <c r="P144" i="30"/>
  <c r="Q144" i="30"/>
  <c r="G143" i="30"/>
  <c r="H143" i="30"/>
  <c r="H127" i="30" s="1"/>
  <c r="I143" i="30"/>
  <c r="J143" i="30"/>
  <c r="N143" i="30"/>
  <c r="O143" i="30"/>
  <c r="P143" i="30"/>
  <c r="Q143" i="30"/>
  <c r="F143" i="30"/>
  <c r="F144" i="30"/>
  <c r="F128" i="30" s="1"/>
  <c r="G142" i="30"/>
  <c r="G126" i="30" s="1"/>
  <c r="H142" i="30"/>
  <c r="I142" i="30"/>
  <c r="N142" i="30"/>
  <c r="O142" i="30"/>
  <c r="P142" i="30"/>
  <c r="Q142" i="30"/>
  <c r="F142" i="30"/>
  <c r="F126" i="30" s="1"/>
  <c r="D43" i="52" l="1"/>
  <c r="D72" i="52"/>
  <c r="J119" i="30"/>
  <c r="J339" i="30" s="1"/>
  <c r="J116" i="30"/>
  <c r="R238" i="30"/>
  <c r="R240" i="30"/>
  <c r="M142" i="30"/>
  <c r="M144" i="30"/>
  <c r="M143" i="30"/>
  <c r="H118" i="30"/>
  <c r="H463" i="50"/>
  <c r="E34" i="2"/>
  <c r="AG38" i="62"/>
  <c r="N192" i="30"/>
  <c r="R196" i="30"/>
  <c r="G22" i="57"/>
  <c r="H119" i="30"/>
  <c r="H115" i="30" s="1"/>
  <c r="D14" i="2"/>
  <c r="F56" i="59"/>
  <c r="K116" i="30"/>
  <c r="G859" i="50"/>
  <c r="D49" i="2"/>
  <c r="E57" i="2"/>
  <c r="D81" i="2"/>
  <c r="D85" i="2" s="1"/>
  <c r="D118" i="2" s="1"/>
  <c r="C94" i="2"/>
  <c r="E94" i="2" s="1"/>
  <c r="E103" i="2"/>
  <c r="H857" i="50"/>
  <c r="D15" i="2"/>
  <c r="D47" i="2"/>
  <c r="D87" i="2" s="1"/>
  <c r="D120" i="2" s="1"/>
  <c r="E23" i="2"/>
  <c r="F859" i="50"/>
  <c r="E53" i="2"/>
  <c r="C81" i="2"/>
  <c r="C49" i="2"/>
  <c r="E35" i="2"/>
  <c r="E21" i="2"/>
  <c r="C45" i="2"/>
  <c r="E45" i="2" s="1"/>
  <c r="E13" i="2"/>
  <c r="H855" i="50"/>
  <c r="E55" i="2"/>
  <c r="C83" i="2"/>
  <c r="C51" i="2"/>
  <c r="E51" i="2" s="1"/>
  <c r="E22" i="2"/>
  <c r="C46" i="2"/>
  <c r="E46" i="2" s="1"/>
  <c r="C14" i="2"/>
  <c r="E58" i="2"/>
  <c r="D82" i="2"/>
  <c r="D86" i="2" s="1"/>
  <c r="D119" i="2" s="1"/>
  <c r="D50" i="2"/>
  <c r="H583" i="50"/>
  <c r="I583" i="50" s="1"/>
  <c r="R236" i="30"/>
  <c r="I19" i="54" s="1"/>
  <c r="I120" i="30"/>
  <c r="I119" i="30"/>
  <c r="H120" i="30"/>
  <c r="H116" i="30" s="1"/>
  <c r="F67" i="59"/>
  <c r="G20" i="57"/>
  <c r="H67" i="50"/>
  <c r="H591" i="50"/>
  <c r="H582" i="50"/>
  <c r="H590" i="50"/>
  <c r="H66" i="50"/>
  <c r="H72" i="50"/>
  <c r="H76" i="50"/>
  <c r="F592" i="50"/>
  <c r="H592" i="50" s="1"/>
  <c r="H586" i="50"/>
  <c r="F68" i="50"/>
  <c r="X44" i="62"/>
  <c r="AF38" i="62"/>
  <c r="I23" i="54" l="1"/>
  <c r="I21" i="54"/>
  <c r="J115" i="30"/>
  <c r="E49" i="2"/>
  <c r="E14" i="2"/>
  <c r="AF44" i="62"/>
  <c r="AG44" i="62"/>
  <c r="E83" i="2"/>
  <c r="H68" i="50"/>
  <c r="C31" i="2"/>
  <c r="E81" i="2"/>
  <c r="C85" i="2"/>
  <c r="H859" i="50"/>
  <c r="H588" i="50"/>
  <c r="G120" i="30"/>
  <c r="G340" i="30" s="1"/>
  <c r="L120" i="30"/>
  <c r="N120" i="30"/>
  <c r="O120" i="30"/>
  <c r="O116" i="30" s="1"/>
  <c r="P120" i="30"/>
  <c r="P116" i="30" s="1"/>
  <c r="Q120" i="30"/>
  <c r="Q116" i="30" s="1"/>
  <c r="O119" i="30"/>
  <c r="P119" i="30"/>
  <c r="Q119" i="30"/>
  <c r="G118" i="30"/>
  <c r="G338" i="30" s="1"/>
  <c r="N118" i="30"/>
  <c r="O118" i="30"/>
  <c r="P118" i="30"/>
  <c r="Q118" i="30"/>
  <c r="F120" i="30"/>
  <c r="F118" i="30"/>
  <c r="F338" i="30" s="1"/>
  <c r="N116" i="30" l="1"/>
  <c r="G116" i="30"/>
  <c r="E31" i="2"/>
  <c r="C47" i="2"/>
  <c r="C15" i="2"/>
  <c r="E15" i="2" s="1"/>
  <c r="L116" i="30"/>
  <c r="E85" i="2"/>
  <c r="C118" i="2"/>
  <c r="E118" i="2" s="1"/>
  <c r="H584" i="50"/>
  <c r="I584" i="50" s="1"/>
  <c r="F861" i="50"/>
  <c r="M118" i="30"/>
  <c r="R118" i="30" s="1"/>
  <c r="M120" i="30"/>
  <c r="R120" i="30" s="1"/>
  <c r="I116" i="30"/>
  <c r="E47" i="2" l="1"/>
  <c r="C87" i="2"/>
  <c r="H114" i="30"/>
  <c r="L114" i="30"/>
  <c r="G114" i="30"/>
  <c r="I114" i="30"/>
  <c r="O220" i="30"/>
  <c r="P220" i="30"/>
  <c r="Q220" i="30"/>
  <c r="M220" i="30"/>
  <c r="O219" i="30"/>
  <c r="P219" i="30"/>
  <c r="Q219" i="30"/>
  <c r="O218" i="30"/>
  <c r="P218" i="30"/>
  <c r="Q218" i="30"/>
  <c r="M219" i="30"/>
  <c r="M259" i="30"/>
  <c r="M260" i="30"/>
  <c r="M258" i="30"/>
  <c r="R258" i="30" s="1"/>
  <c r="D37" i="54" s="1"/>
  <c r="I37" i="54" s="1"/>
  <c r="M223" i="30"/>
  <c r="M224" i="30"/>
  <c r="R224" i="30" s="1"/>
  <c r="I11" i="54" s="1"/>
  <c r="M222" i="30"/>
  <c r="R222" i="30" s="1"/>
  <c r="I9" i="54" s="1"/>
  <c r="E87" i="2" l="1"/>
  <c r="C120" i="2"/>
  <c r="E120" i="2" s="1"/>
  <c r="R220" i="30"/>
  <c r="R218" i="30"/>
  <c r="G120" i="2" l="1"/>
  <c r="M188" i="30"/>
  <c r="R188" i="30" s="1"/>
  <c r="M186" i="30"/>
  <c r="R186" i="30" s="1"/>
  <c r="M341" i="30"/>
  <c r="M342" i="30"/>
  <c r="M343" i="30"/>
  <c r="M344" i="30"/>
  <c r="O272" i="30" l="1"/>
  <c r="O348" i="30" s="1"/>
  <c r="P272" i="30"/>
  <c r="P348" i="30" s="1"/>
  <c r="Q272" i="30"/>
  <c r="Q348" i="30" s="1"/>
  <c r="O271" i="30"/>
  <c r="O347" i="30" s="1"/>
  <c r="P271" i="30"/>
  <c r="P347" i="30" s="1"/>
  <c r="Q271" i="30"/>
  <c r="Q347" i="30" s="1"/>
  <c r="N271" i="30"/>
  <c r="N347" i="30" s="1"/>
  <c r="N272" i="30"/>
  <c r="N348" i="30" s="1"/>
  <c r="R269" i="30"/>
  <c r="O270" i="30"/>
  <c r="O346" i="30" s="1"/>
  <c r="P270" i="30"/>
  <c r="P346" i="30" s="1"/>
  <c r="Q270" i="30"/>
  <c r="Q346" i="30" s="1"/>
  <c r="N270" i="30"/>
  <c r="N346" i="30" s="1"/>
  <c r="G272" i="30"/>
  <c r="I272" i="30"/>
  <c r="J272" i="30"/>
  <c r="J348" i="30" s="1"/>
  <c r="J336" i="30" s="1"/>
  <c r="K272" i="30"/>
  <c r="K348" i="30" s="1"/>
  <c r="K336" i="30" s="1"/>
  <c r="L272" i="30"/>
  <c r="L348" i="30" s="1"/>
  <c r="G271" i="30"/>
  <c r="I271" i="30"/>
  <c r="J271" i="30"/>
  <c r="J347" i="30" s="1"/>
  <c r="J335" i="30" s="1"/>
  <c r="K271" i="30"/>
  <c r="K347" i="30" s="1"/>
  <c r="L271" i="30"/>
  <c r="L347" i="30" s="1"/>
  <c r="G270" i="30"/>
  <c r="G346" i="30" s="1"/>
  <c r="H346" i="30"/>
  <c r="I270" i="30"/>
  <c r="I346" i="30" s="1"/>
  <c r="J270" i="30"/>
  <c r="J346" i="30" s="1"/>
  <c r="J334" i="30" s="1"/>
  <c r="K270" i="30"/>
  <c r="K346" i="30" s="1"/>
  <c r="L270" i="30"/>
  <c r="L346" i="30" s="1"/>
  <c r="F271" i="30"/>
  <c r="F347" i="30" s="1"/>
  <c r="F272" i="30"/>
  <c r="F348" i="30" s="1"/>
  <c r="F270" i="30"/>
  <c r="F346" i="30" s="1"/>
  <c r="O340" i="30"/>
  <c r="Q340" i="30"/>
  <c r="Q369" i="30" s="1"/>
  <c r="O339" i="30"/>
  <c r="P339" i="30"/>
  <c r="Q339" i="30"/>
  <c r="O338" i="30"/>
  <c r="Q338" i="30"/>
  <c r="L340" i="30"/>
  <c r="K339" i="30"/>
  <c r="L339" i="30"/>
  <c r="K338" i="30"/>
  <c r="L338" i="30"/>
  <c r="M176" i="30"/>
  <c r="R176" i="30" s="1"/>
  <c r="M174" i="30"/>
  <c r="R174" i="30" s="1"/>
  <c r="F55" i="52"/>
  <c r="F62" i="52" s="1"/>
  <c r="F72" i="52" l="1"/>
  <c r="F43" i="52"/>
  <c r="G348" i="30"/>
  <c r="G336" i="30" s="1"/>
  <c r="G894" i="50"/>
  <c r="H894" i="50" s="1"/>
  <c r="M346" i="30"/>
  <c r="R346" i="30" s="1"/>
  <c r="N306" i="30"/>
  <c r="N302" i="30" s="1"/>
  <c r="N338" i="30" s="1"/>
  <c r="H262" i="30"/>
  <c r="Q262" i="30"/>
  <c r="O262" i="30"/>
  <c r="O264" i="30"/>
  <c r="K334" i="30"/>
  <c r="Q335" i="30"/>
  <c r="K264" i="30"/>
  <c r="Q334" i="30"/>
  <c r="Q367" i="30"/>
  <c r="P335" i="30"/>
  <c r="O336" i="30"/>
  <c r="O369" i="30"/>
  <c r="O335" i="30"/>
  <c r="G899" i="50" s="1"/>
  <c r="O334" i="30"/>
  <c r="O367" i="30"/>
  <c r="G896" i="50"/>
  <c r="G264" i="30"/>
  <c r="P262" i="30"/>
  <c r="P338" i="30"/>
  <c r="L263" i="30"/>
  <c r="Q264" i="30"/>
  <c r="Q336" i="30"/>
  <c r="M266" i="30"/>
  <c r="R266" i="30" s="1"/>
  <c r="N264" i="30"/>
  <c r="P264" i="30"/>
  <c r="P340" i="30"/>
  <c r="L262" i="30"/>
  <c r="J262" i="30"/>
  <c r="I264" i="30"/>
  <c r="K262" i="30"/>
  <c r="I262" i="30"/>
  <c r="K263" i="30"/>
  <c r="G262" i="30"/>
  <c r="F262" i="30"/>
  <c r="J263" i="30"/>
  <c r="M272" i="30"/>
  <c r="R272" i="30" s="1"/>
  <c r="N262" i="30"/>
  <c r="L264" i="30"/>
  <c r="F264" i="30"/>
  <c r="M171" i="30"/>
  <c r="R171" i="30" s="1"/>
  <c r="M172" i="30"/>
  <c r="R172" i="30" s="1"/>
  <c r="M170" i="30"/>
  <c r="R170" i="30" s="1"/>
  <c r="D161" i="2" l="1"/>
  <c r="E161" i="2" s="1"/>
  <c r="H899" i="50"/>
  <c r="M348" i="30"/>
  <c r="R348" i="30" s="1"/>
  <c r="D156" i="2"/>
  <c r="E156" i="2" s="1"/>
  <c r="G890" i="50"/>
  <c r="H890" i="50" s="1"/>
  <c r="M262" i="30"/>
  <c r="R262" i="30" s="1"/>
  <c r="P336" i="30"/>
  <c r="P369" i="30"/>
  <c r="P334" i="30"/>
  <c r="P367" i="30"/>
  <c r="D158" i="2"/>
  <c r="E158" i="2" s="1"/>
  <c r="H896" i="50"/>
  <c r="O263" i="30"/>
  <c r="M353" i="30"/>
  <c r="R353" i="30" s="1"/>
  <c r="M351" i="30"/>
  <c r="R351" i="30" s="1"/>
  <c r="N304" i="30" l="1"/>
  <c r="N340" i="30" s="1"/>
  <c r="D152" i="2"/>
  <c r="E152" i="2" s="1"/>
  <c r="G902" i="50"/>
  <c r="D164" i="2" s="1"/>
  <c r="P263" i="30"/>
  <c r="Q263" i="30"/>
  <c r="N336" i="30" l="1"/>
  <c r="G910" i="50"/>
  <c r="D176" i="2" s="1"/>
  <c r="H902" i="50"/>
  <c r="D168" i="2"/>
  <c r="E164" i="2"/>
  <c r="M132" i="30"/>
  <c r="R132" i="30" s="1"/>
  <c r="M130" i="30"/>
  <c r="R130" i="30" s="1"/>
  <c r="M318" i="30"/>
  <c r="R318" i="30" s="1"/>
  <c r="M319" i="30"/>
  <c r="R319" i="30" s="1"/>
  <c r="M320" i="30"/>
  <c r="R320" i="30" s="1"/>
  <c r="I128" i="30"/>
  <c r="O128" i="30"/>
  <c r="P128" i="30"/>
  <c r="Q128" i="30"/>
  <c r="I127" i="30"/>
  <c r="O127" i="30"/>
  <c r="P127" i="30"/>
  <c r="Q127" i="30"/>
  <c r="I126" i="30"/>
  <c r="M126" i="30" s="1"/>
  <c r="N126" i="30"/>
  <c r="O126" i="30"/>
  <c r="P126" i="30"/>
  <c r="Q126" i="30"/>
  <c r="M104" i="30"/>
  <c r="M105" i="30"/>
  <c r="M106" i="30"/>
  <c r="M107" i="30"/>
  <c r="M373" i="30" s="1"/>
  <c r="R373" i="30" s="1"/>
  <c r="N87" i="30"/>
  <c r="J36" i="32" s="1"/>
  <c r="N85" i="30"/>
  <c r="J34" i="32" s="1"/>
  <c r="G87" i="30"/>
  <c r="H87" i="30"/>
  <c r="I87" i="30"/>
  <c r="J87" i="30"/>
  <c r="K87" i="30"/>
  <c r="L87" i="30"/>
  <c r="G86" i="30"/>
  <c r="I86" i="30"/>
  <c r="J86" i="30"/>
  <c r="K86" i="30"/>
  <c r="L86" i="30"/>
  <c r="G85" i="30"/>
  <c r="H85" i="30"/>
  <c r="I85" i="30"/>
  <c r="J85" i="30"/>
  <c r="K85" i="30"/>
  <c r="L85" i="30"/>
  <c r="F86" i="30"/>
  <c r="F87" i="30"/>
  <c r="F85" i="30"/>
  <c r="M91" i="30"/>
  <c r="R91" i="30" s="1"/>
  <c r="M89" i="30"/>
  <c r="R89" i="30" s="1"/>
  <c r="H75" i="30"/>
  <c r="N75" i="30"/>
  <c r="N54" i="30"/>
  <c r="J27" i="32" s="1"/>
  <c r="G110" i="30"/>
  <c r="J26" i="32"/>
  <c r="H109" i="30"/>
  <c r="H375" i="30" s="1"/>
  <c r="H110" i="30"/>
  <c r="M69" i="30"/>
  <c r="R69" i="30" s="1"/>
  <c r="F61" i="30"/>
  <c r="G61" i="30"/>
  <c r="D89" i="2" l="1"/>
  <c r="K36" i="32"/>
  <c r="N36" i="32" s="1"/>
  <c r="J42" i="32"/>
  <c r="R106" i="30"/>
  <c r="M372" i="30"/>
  <c r="R372" i="30" s="1"/>
  <c r="R105" i="30"/>
  <c r="M371" i="30"/>
  <c r="R371" i="30" s="1"/>
  <c r="R104" i="30"/>
  <c r="M370" i="30"/>
  <c r="R370" i="30" s="1"/>
  <c r="M85" i="30"/>
  <c r="R85" i="30" s="1"/>
  <c r="K34" i="32" s="1"/>
  <c r="N34" i="32" s="1"/>
  <c r="M128" i="30"/>
  <c r="R128" i="30" s="1"/>
  <c r="M87" i="30"/>
  <c r="R87" i="30" s="1"/>
  <c r="R126" i="30"/>
  <c r="P111" i="30" l="1"/>
  <c r="P377" i="30" s="1"/>
  <c r="Q111" i="30"/>
  <c r="Q377" i="30" s="1"/>
  <c r="J23" i="32"/>
  <c r="O110" i="30"/>
  <c r="O376" i="30" s="1"/>
  <c r="P110" i="30"/>
  <c r="P376" i="30" s="1"/>
  <c r="Q110" i="30"/>
  <c r="Q376" i="30" s="1"/>
  <c r="O109" i="30"/>
  <c r="O375" i="30" s="1"/>
  <c r="P109" i="30"/>
  <c r="P375" i="30" s="1"/>
  <c r="Q109" i="30"/>
  <c r="Q375" i="30" s="1"/>
  <c r="I111" i="30"/>
  <c r="I377" i="30" s="1"/>
  <c r="K111" i="30"/>
  <c r="K377" i="30" s="1"/>
  <c r="I110" i="30"/>
  <c r="I376" i="30" s="1"/>
  <c r="J110" i="30"/>
  <c r="J376" i="30" s="1"/>
  <c r="K110" i="30"/>
  <c r="K376" i="30" s="1"/>
  <c r="L110" i="30"/>
  <c r="L376" i="30" s="1"/>
  <c r="I109" i="30"/>
  <c r="I375" i="30" s="1"/>
  <c r="J109" i="30"/>
  <c r="J375" i="30" s="1"/>
  <c r="K109" i="30"/>
  <c r="K375" i="30" s="1"/>
  <c r="L109" i="30"/>
  <c r="L375" i="30" s="1"/>
  <c r="N109" i="30" l="1"/>
  <c r="N375" i="30" s="1"/>
  <c r="J30" i="32"/>
  <c r="G111" i="30"/>
  <c r="G377" i="30" s="1"/>
  <c r="F111" i="30"/>
  <c r="F377" i="30" s="1"/>
  <c r="J44" i="32"/>
  <c r="P51" i="30"/>
  <c r="N63" i="30"/>
  <c r="H111" i="30"/>
  <c r="O51" i="30"/>
  <c r="L51" i="30"/>
  <c r="L111" i="30"/>
  <c r="L377" i="30" s="1"/>
  <c r="G49" i="30"/>
  <c r="G109" i="30"/>
  <c r="G375" i="30" s="1"/>
  <c r="N50" i="30"/>
  <c r="N110" i="30"/>
  <c r="N376" i="30" s="1"/>
  <c r="F49" i="30"/>
  <c r="F109" i="30"/>
  <c r="F375" i="30" s="1"/>
  <c r="J51" i="30"/>
  <c r="J111" i="30"/>
  <c r="J377" i="30" s="1"/>
  <c r="I51" i="30"/>
  <c r="F51" i="30"/>
  <c r="Q51" i="30"/>
  <c r="K51" i="30"/>
  <c r="N49" i="30"/>
  <c r="G51" i="30" l="1"/>
  <c r="M51" i="30" s="1"/>
  <c r="R51" i="30" s="1"/>
  <c r="J46" i="32"/>
  <c r="J22" i="32"/>
  <c r="M111" i="30"/>
  <c r="M109" i="30"/>
  <c r="R109" i="30" s="1"/>
  <c r="J24" i="32" l="1"/>
  <c r="J48" i="32"/>
  <c r="M65" i="30"/>
  <c r="R65" i="30" s="1"/>
  <c r="G63" i="30"/>
  <c r="F63" i="30"/>
  <c r="M79" i="30"/>
  <c r="O75" i="30"/>
  <c r="P75" i="30"/>
  <c r="Q75" i="30"/>
  <c r="O74" i="30"/>
  <c r="P74" i="30"/>
  <c r="Q74" i="30"/>
  <c r="O73" i="30"/>
  <c r="P73" i="30"/>
  <c r="Q73" i="30"/>
  <c r="N74" i="30"/>
  <c r="N73" i="30"/>
  <c r="M71" i="30"/>
  <c r="M76" i="30"/>
  <c r="M77" i="30"/>
  <c r="M80" i="30"/>
  <c r="M81" i="30"/>
  <c r="M83" i="30"/>
  <c r="M70" i="30"/>
  <c r="G75" i="30"/>
  <c r="I75" i="30"/>
  <c r="J75" i="30"/>
  <c r="K75" i="30"/>
  <c r="L75" i="30"/>
  <c r="I74" i="30"/>
  <c r="J74" i="30"/>
  <c r="K74" i="30"/>
  <c r="L74" i="30"/>
  <c r="G73" i="30"/>
  <c r="H73" i="30"/>
  <c r="I73" i="30"/>
  <c r="J73" i="30"/>
  <c r="K73" i="30"/>
  <c r="L73" i="30"/>
  <c r="F75" i="30"/>
  <c r="F73" i="30"/>
  <c r="O63" i="30"/>
  <c r="P63" i="30"/>
  <c r="Q63" i="30"/>
  <c r="O62" i="30"/>
  <c r="P62" i="30"/>
  <c r="Q62" i="30"/>
  <c r="O61" i="30"/>
  <c r="P61" i="30"/>
  <c r="Q61" i="30"/>
  <c r="N62" i="30"/>
  <c r="N61" i="30"/>
  <c r="I63" i="30"/>
  <c r="J63" i="30"/>
  <c r="K63" i="30"/>
  <c r="L63" i="30"/>
  <c r="I61" i="30"/>
  <c r="J61" i="30"/>
  <c r="K61" i="30"/>
  <c r="L61" i="30"/>
  <c r="F42" i="30"/>
  <c r="F43" i="30"/>
  <c r="G43" i="30"/>
  <c r="G15" i="30" s="1"/>
  <c r="H43" i="30"/>
  <c r="I43" i="30"/>
  <c r="I15" i="30" s="1"/>
  <c r="J43" i="30"/>
  <c r="J15" i="30" s="1"/>
  <c r="K43" i="30"/>
  <c r="K15" i="30" s="1"/>
  <c r="L43" i="30"/>
  <c r="L15" i="30" s="1"/>
  <c r="G42" i="30"/>
  <c r="H42" i="30"/>
  <c r="I42" i="30"/>
  <c r="I14" i="30" s="1"/>
  <c r="J42" i="30"/>
  <c r="J14" i="30" s="1"/>
  <c r="K42" i="30"/>
  <c r="K14" i="30" s="1"/>
  <c r="L42" i="30"/>
  <c r="L14" i="30" s="1"/>
  <c r="G41" i="30"/>
  <c r="G101" i="30" s="1"/>
  <c r="H41" i="30"/>
  <c r="I41" i="30"/>
  <c r="I13" i="30" s="1"/>
  <c r="J41" i="30"/>
  <c r="K41" i="30"/>
  <c r="L41" i="30"/>
  <c r="F41" i="30"/>
  <c r="F101" i="30" s="1"/>
  <c r="O23" i="30"/>
  <c r="P23" i="30"/>
  <c r="Q23" i="30"/>
  <c r="O22" i="30"/>
  <c r="P22" i="30"/>
  <c r="Q22" i="30"/>
  <c r="O21" i="30"/>
  <c r="P21" i="30"/>
  <c r="Q21" i="30"/>
  <c r="N22" i="30"/>
  <c r="N23" i="30"/>
  <c r="N21" i="30"/>
  <c r="P11" i="30"/>
  <c r="Q11" i="30"/>
  <c r="Q10" i="30"/>
  <c r="O9" i="30"/>
  <c r="P9" i="30"/>
  <c r="Q9" i="30"/>
  <c r="M33" i="30"/>
  <c r="R33" i="30" s="1"/>
  <c r="M35" i="30"/>
  <c r="R35" i="30" s="1"/>
  <c r="M29" i="30"/>
  <c r="R29" i="30" s="1"/>
  <c r="M30" i="30"/>
  <c r="R30" i="30" s="1"/>
  <c r="M31" i="30"/>
  <c r="R31" i="30" s="1"/>
  <c r="M25" i="30"/>
  <c r="R25" i="30" s="1"/>
  <c r="M274" i="30"/>
  <c r="R274" i="30" s="1"/>
  <c r="M276" i="30"/>
  <c r="R276" i="30" s="1"/>
  <c r="M278" i="30"/>
  <c r="R278" i="30" s="1"/>
  <c r="M280" i="30"/>
  <c r="R280" i="30" s="1"/>
  <c r="M282" i="30"/>
  <c r="R282" i="30" s="1"/>
  <c r="M283" i="30"/>
  <c r="R283" i="30" s="1"/>
  <c r="M284" i="30"/>
  <c r="R284" i="30" s="1"/>
  <c r="M286" i="30"/>
  <c r="R286" i="30" s="1"/>
  <c r="M287" i="30"/>
  <c r="R287" i="30" s="1"/>
  <c r="M288" i="30"/>
  <c r="R288" i="30" s="1"/>
  <c r="M290" i="30"/>
  <c r="R290" i="30" s="1"/>
  <c r="M291" i="30"/>
  <c r="R291" i="30" s="1"/>
  <c r="M292" i="30"/>
  <c r="R292" i="30" s="1"/>
  <c r="M200" i="30"/>
  <c r="R200" i="30" s="1"/>
  <c r="M195" i="30"/>
  <c r="R195" i="30" s="1"/>
  <c r="M210" i="30"/>
  <c r="R210" i="30" s="1"/>
  <c r="M212" i="30"/>
  <c r="R212" i="30" s="1"/>
  <c r="F340" i="30"/>
  <c r="R205" i="30"/>
  <c r="R206" i="30"/>
  <c r="M202" i="30"/>
  <c r="R202" i="30" s="1"/>
  <c r="M310" i="30"/>
  <c r="R310" i="30" s="1"/>
  <c r="M328" i="30"/>
  <c r="R328" i="30" s="1"/>
  <c r="M331" i="30"/>
  <c r="R331" i="30" s="1"/>
  <c r="M326" i="30"/>
  <c r="R326" i="30" s="1"/>
  <c r="M296" i="30"/>
  <c r="R296" i="30" s="1"/>
  <c r="M294" i="30"/>
  <c r="R294" i="30" s="1"/>
  <c r="M150" i="30"/>
  <c r="M151" i="30"/>
  <c r="M152" i="30"/>
  <c r="M299" i="30"/>
  <c r="R299" i="30" s="1"/>
  <c r="M298" i="30"/>
  <c r="R298" i="30" s="1"/>
  <c r="M184" i="30"/>
  <c r="R184" i="30" s="1"/>
  <c r="M182" i="30"/>
  <c r="R182" i="30" s="1"/>
  <c r="M168" i="30"/>
  <c r="R168" i="30" s="1"/>
  <c r="M166" i="30"/>
  <c r="R166" i="30" s="1"/>
  <c r="M180" i="30"/>
  <c r="R180" i="30" s="1"/>
  <c r="M178" i="30"/>
  <c r="R178" i="30" s="1"/>
  <c r="M160" i="30"/>
  <c r="R160" i="30" s="1"/>
  <c r="M158" i="30"/>
  <c r="R158" i="30" s="1"/>
  <c r="M251" i="30"/>
  <c r="M252" i="30"/>
  <c r="R252" i="30" s="1"/>
  <c r="M250" i="30"/>
  <c r="R250" i="30" s="1"/>
  <c r="H340" i="30"/>
  <c r="I340" i="30"/>
  <c r="L336" i="30"/>
  <c r="H338" i="30"/>
  <c r="L334" i="30"/>
  <c r="M308" i="30"/>
  <c r="R308" i="30" s="1"/>
  <c r="M306" i="30"/>
  <c r="R306" i="30" s="1"/>
  <c r="M357" i="30"/>
  <c r="R357" i="30" s="1"/>
  <c r="M355" i="30"/>
  <c r="R355" i="30" s="1"/>
  <c r="M162" i="30"/>
  <c r="R162" i="30" s="1"/>
  <c r="M163" i="30"/>
  <c r="R163" i="30" s="1"/>
  <c r="M164" i="30"/>
  <c r="R164" i="30" s="1"/>
  <c r="M165" i="30"/>
  <c r="M216" i="30"/>
  <c r="R216" i="30" s="1"/>
  <c r="M214" i="30"/>
  <c r="R214" i="30" s="1"/>
  <c r="G192" i="30"/>
  <c r="I192" i="30"/>
  <c r="J192" i="30"/>
  <c r="K192" i="30"/>
  <c r="L192" i="30"/>
  <c r="G191" i="30"/>
  <c r="I191" i="30"/>
  <c r="J191" i="30"/>
  <c r="K191" i="30"/>
  <c r="L191" i="30"/>
  <c r="F191" i="30"/>
  <c r="F192" i="30"/>
  <c r="G190" i="30"/>
  <c r="I190" i="30"/>
  <c r="J190" i="30"/>
  <c r="K190" i="30"/>
  <c r="L190" i="30"/>
  <c r="F190" i="30"/>
  <c r="F114" i="30"/>
  <c r="M114" i="30" s="1"/>
  <c r="R114" i="30" s="1"/>
  <c r="F116" i="30"/>
  <c r="M116" i="30" s="1"/>
  <c r="R116" i="30" s="1"/>
  <c r="N42" i="30"/>
  <c r="N14" i="30" s="1"/>
  <c r="N43" i="30"/>
  <c r="N15" i="30" s="1"/>
  <c r="N103" i="30" s="1"/>
  <c r="N369" i="30" s="1"/>
  <c r="N41" i="30"/>
  <c r="N13" i="30" s="1"/>
  <c r="M45" i="30"/>
  <c r="R45" i="30" s="1"/>
  <c r="M46" i="30"/>
  <c r="R46" i="30" s="1"/>
  <c r="M47" i="30"/>
  <c r="R47" i="30" s="1"/>
  <c r="M19" i="30"/>
  <c r="F127" i="30"/>
  <c r="H334" i="30" l="1"/>
  <c r="R71" i="30"/>
  <c r="M59" i="30"/>
  <c r="R59" i="30" s="1"/>
  <c r="K32" i="32" s="1"/>
  <c r="H15" i="30"/>
  <c r="H103" i="30" s="1"/>
  <c r="H54" i="30"/>
  <c r="H50" i="30" s="1"/>
  <c r="H49" i="30"/>
  <c r="M208" i="30"/>
  <c r="R208" i="30" s="1"/>
  <c r="F204" i="30"/>
  <c r="M204" i="30" s="1"/>
  <c r="R204" i="30" s="1"/>
  <c r="F336" i="30"/>
  <c r="H74" i="30"/>
  <c r="G334" i="30"/>
  <c r="G367" i="30"/>
  <c r="G363" i="30" s="1"/>
  <c r="G379" i="30" s="1"/>
  <c r="G892" i="50"/>
  <c r="F367" i="30"/>
  <c r="I338" i="30"/>
  <c r="M338" i="30" s="1"/>
  <c r="I336" i="30"/>
  <c r="F119" i="30"/>
  <c r="H192" i="30"/>
  <c r="M192" i="30" s="1"/>
  <c r="R192" i="30" s="1"/>
  <c r="R152" i="30"/>
  <c r="R144" i="30"/>
  <c r="R150" i="30"/>
  <c r="R142" i="30"/>
  <c r="R151" i="30"/>
  <c r="F334" i="30"/>
  <c r="N334" i="30"/>
  <c r="G97" i="30"/>
  <c r="M21" i="30"/>
  <c r="R21" i="30" s="1"/>
  <c r="L11" i="30"/>
  <c r="L103" i="30"/>
  <c r="L369" i="30" s="1"/>
  <c r="F97" i="30"/>
  <c r="I11" i="30"/>
  <c r="I103" i="30"/>
  <c r="I369" i="30" s="1"/>
  <c r="I9" i="30"/>
  <c r="N9" i="30"/>
  <c r="N101" i="30"/>
  <c r="K9" i="30"/>
  <c r="J9" i="30"/>
  <c r="L10" i="30"/>
  <c r="J11" i="30"/>
  <c r="J103" i="30"/>
  <c r="G9" i="30"/>
  <c r="K10" i="30"/>
  <c r="I10" i="30"/>
  <c r="K11" i="30"/>
  <c r="K103" i="30"/>
  <c r="K369" i="30" s="1"/>
  <c r="N10" i="30"/>
  <c r="L9" i="30"/>
  <c r="H9" i="30"/>
  <c r="H101" i="30"/>
  <c r="H367" i="30" s="1"/>
  <c r="H363" i="30" s="1"/>
  <c r="H379" i="30" s="1"/>
  <c r="J10" i="30"/>
  <c r="M190" i="30"/>
  <c r="R190" i="30" s="1"/>
  <c r="M23" i="30"/>
  <c r="R23" i="30" s="1"/>
  <c r="G103" i="30"/>
  <c r="G369" i="30" s="1"/>
  <c r="G365" i="30" s="1"/>
  <c r="G381" i="30" s="1"/>
  <c r="R83" i="30"/>
  <c r="R79" i="30"/>
  <c r="R55" i="30"/>
  <c r="R81" i="30"/>
  <c r="R57" i="30"/>
  <c r="K30" i="32" s="1"/>
  <c r="R77" i="30"/>
  <c r="H61" i="30"/>
  <c r="M61" i="30" s="1"/>
  <c r="R61" i="30" s="1"/>
  <c r="M63" i="30"/>
  <c r="R63" i="30" s="1"/>
  <c r="M75" i="30"/>
  <c r="R75" i="30" s="1"/>
  <c r="M73" i="30"/>
  <c r="R73" i="30" s="1"/>
  <c r="G11" i="30"/>
  <c r="M13" i="30"/>
  <c r="R13" i="30" s="1"/>
  <c r="M27" i="30"/>
  <c r="R27" i="30" s="1"/>
  <c r="M312" i="30"/>
  <c r="R312" i="30" s="1"/>
  <c r="M302" i="30"/>
  <c r="R302" i="30" s="1"/>
  <c r="M304" i="30"/>
  <c r="M42" i="30"/>
  <c r="R42" i="30" s="1"/>
  <c r="M43" i="30"/>
  <c r="R43" i="30" s="1"/>
  <c r="M41" i="30"/>
  <c r="R41" i="30" s="1"/>
  <c r="J360" i="30"/>
  <c r="N97" i="30" l="1"/>
  <c r="N367" i="30"/>
  <c r="H11" i="30"/>
  <c r="K28" i="32"/>
  <c r="N28" i="32" s="1"/>
  <c r="N32" i="32"/>
  <c r="K48" i="32"/>
  <c r="H99" i="30"/>
  <c r="H369" i="30"/>
  <c r="N30" i="32"/>
  <c r="K46" i="32"/>
  <c r="R338" i="30"/>
  <c r="H377" i="30"/>
  <c r="H365" i="30" s="1"/>
  <c r="M377" i="30"/>
  <c r="N363" i="30"/>
  <c r="N379" i="30" s="1"/>
  <c r="H892" i="50"/>
  <c r="D154" i="2"/>
  <c r="E154" i="2" s="1"/>
  <c r="G904" i="50"/>
  <c r="H336" i="30"/>
  <c r="I334" i="30"/>
  <c r="M352" i="30"/>
  <c r="R352" i="30" s="1"/>
  <c r="J99" i="30"/>
  <c r="G99" i="30"/>
  <c r="F871" i="50"/>
  <c r="K99" i="30"/>
  <c r="K365" i="30"/>
  <c r="K381" i="30" s="1"/>
  <c r="L99" i="30"/>
  <c r="L365" i="30"/>
  <c r="L381" i="30" s="1"/>
  <c r="H97" i="30"/>
  <c r="I99" i="30"/>
  <c r="I365" i="30"/>
  <c r="M9" i="30"/>
  <c r="R9" i="30" s="1"/>
  <c r="K14" i="32" s="1"/>
  <c r="K10" i="32" s="1"/>
  <c r="N10" i="32" s="1"/>
  <c r="F10" i="30"/>
  <c r="F11" i="30"/>
  <c r="F103" i="30"/>
  <c r="F369" i="30" s="1"/>
  <c r="F365" i="30" s="1"/>
  <c r="F381" i="30" s="1"/>
  <c r="H10" i="30"/>
  <c r="M15" i="30"/>
  <c r="R15" i="30" s="1"/>
  <c r="M11" i="30" l="1"/>
  <c r="K44" i="32"/>
  <c r="N44" i="32" s="1"/>
  <c r="K24" i="32"/>
  <c r="N24" i="32" s="1"/>
  <c r="N119" i="30"/>
  <c r="N127" i="30"/>
  <c r="N14" i="32"/>
  <c r="H381" i="30"/>
  <c r="F879" i="50"/>
  <c r="C141" i="2" s="1"/>
  <c r="E141" i="2" s="1"/>
  <c r="I381" i="30"/>
  <c r="F867" i="50"/>
  <c r="H904" i="50"/>
  <c r="D166" i="2"/>
  <c r="G912" i="50"/>
  <c r="D178" i="2" s="1"/>
  <c r="D91" i="2" s="1"/>
  <c r="C133" i="2"/>
  <c r="E133" i="2" s="1"/>
  <c r="H871" i="50"/>
  <c r="M103" i="30"/>
  <c r="R103" i="30" s="1"/>
  <c r="H203" i="30"/>
  <c r="G347" i="30"/>
  <c r="F203" i="30"/>
  <c r="M175" i="30"/>
  <c r="M327" i="30"/>
  <c r="R327" i="30" s="1"/>
  <c r="J369" i="30"/>
  <c r="G303" i="30"/>
  <c r="F303" i="30"/>
  <c r="F339" i="30" s="1"/>
  <c r="N115" i="30" l="1"/>
  <c r="F875" i="50"/>
  <c r="H875" i="50" s="1"/>
  <c r="H879" i="50"/>
  <c r="H191" i="30"/>
  <c r="M191" i="30" s="1"/>
  <c r="R191" i="30" s="1"/>
  <c r="M199" i="30"/>
  <c r="R199" i="30" s="1"/>
  <c r="H867" i="50"/>
  <c r="C129" i="2"/>
  <c r="E129" i="2" s="1"/>
  <c r="M211" i="30"/>
  <c r="R211" i="30" s="1"/>
  <c r="G376" i="30"/>
  <c r="D170" i="2"/>
  <c r="E166" i="2"/>
  <c r="N303" i="30"/>
  <c r="M361" i="30"/>
  <c r="M340" i="30"/>
  <c r="M369" i="30" s="1"/>
  <c r="R369" i="30" s="1"/>
  <c r="H652" i="50"/>
  <c r="M279" i="30"/>
  <c r="R279" i="30" s="1"/>
  <c r="I263" i="30"/>
  <c r="J264" i="30"/>
  <c r="M264" i="30" s="1"/>
  <c r="R264" i="30" s="1"/>
  <c r="M268" i="30"/>
  <c r="R268" i="30" s="1"/>
  <c r="J365" i="30"/>
  <c r="M275" i="30"/>
  <c r="R275" i="30" s="1"/>
  <c r="M347" i="30"/>
  <c r="R347" i="30" s="1"/>
  <c r="M159" i="30"/>
  <c r="M207" i="30"/>
  <c r="M215" i="30"/>
  <c r="R215" i="30" s="1"/>
  <c r="M300" i="30"/>
  <c r="M183" i="30"/>
  <c r="R183" i="30" s="1"/>
  <c r="G203" i="30"/>
  <c r="M203" i="30" s="1"/>
  <c r="R203" i="30" s="1"/>
  <c r="G54" i="30"/>
  <c r="C137" i="2" l="1"/>
  <c r="E137" i="2" s="1"/>
  <c r="M365" i="30"/>
  <c r="J381" i="30"/>
  <c r="M381" i="30" s="1"/>
  <c r="H376" i="30"/>
  <c r="R361" i="30"/>
  <c r="F908" i="50"/>
  <c r="F883" i="50"/>
  <c r="M336" i="30"/>
  <c r="R159" i="30"/>
  <c r="R143" i="30"/>
  <c r="H644" i="50"/>
  <c r="H596" i="50" s="1"/>
  <c r="F596" i="50"/>
  <c r="R304" i="30"/>
  <c r="G50" i="30"/>
  <c r="G74" i="30"/>
  <c r="G62" i="30"/>
  <c r="M58" i="30" l="1"/>
  <c r="F856" i="50"/>
  <c r="C54" i="2"/>
  <c r="H908" i="50"/>
  <c r="C174" i="2"/>
  <c r="E174" i="2" s="1"/>
  <c r="C145" i="2"/>
  <c r="E145" i="2" s="1"/>
  <c r="H883" i="50"/>
  <c r="F887" i="50"/>
  <c r="R340" i="30"/>
  <c r="H86" i="30"/>
  <c r="M86" i="30" s="1"/>
  <c r="M90" i="30"/>
  <c r="H102" i="30"/>
  <c r="F54" i="30"/>
  <c r="F110" i="30"/>
  <c r="F376" i="30" s="1"/>
  <c r="M82" i="30"/>
  <c r="C82" i="2" l="1"/>
  <c r="C50" i="2"/>
  <c r="E50" i="2" s="1"/>
  <c r="E54" i="2"/>
  <c r="H856" i="50"/>
  <c r="F860" i="50"/>
  <c r="R336" i="30"/>
  <c r="H887" i="50"/>
  <c r="C149" i="2"/>
  <c r="E149" i="2" s="1"/>
  <c r="F912" i="50"/>
  <c r="C178" i="2" s="1"/>
  <c r="H98" i="30"/>
  <c r="M110" i="30"/>
  <c r="F99" i="30"/>
  <c r="M99" i="30" s="1"/>
  <c r="F74" i="30"/>
  <c r="M74" i="30" s="1"/>
  <c r="R74" i="30" s="1"/>
  <c r="M78" i="30"/>
  <c r="R78" i="30" s="1"/>
  <c r="R82" i="30"/>
  <c r="R58" i="30"/>
  <c r="K31" i="32" s="1"/>
  <c r="N31" i="32" s="1"/>
  <c r="M179" i="30"/>
  <c r="R179" i="30" s="1"/>
  <c r="R110" i="30" l="1"/>
  <c r="M376" i="30"/>
  <c r="R376" i="30" s="1"/>
  <c r="E82" i="2"/>
  <c r="C86" i="2"/>
  <c r="E178" i="2"/>
  <c r="C91" i="2"/>
  <c r="E91" i="2" s="1"/>
  <c r="C170" i="2"/>
  <c r="E170" i="2" s="1"/>
  <c r="H912" i="50"/>
  <c r="F50" i="30"/>
  <c r="F102" i="30"/>
  <c r="F98" i="30" s="1"/>
  <c r="M187" i="30"/>
  <c r="R187" i="30" s="1"/>
  <c r="E86" i="2" l="1"/>
  <c r="C119" i="2"/>
  <c r="E119" i="2" s="1"/>
  <c r="R235" i="30"/>
  <c r="I18" i="54" s="1"/>
  <c r="G119" i="2" l="1"/>
  <c r="M34" i="30"/>
  <c r="R34" i="30" s="1"/>
  <c r="E56" i="52"/>
  <c r="E55" i="52" s="1"/>
  <c r="E72" i="52" l="1"/>
  <c r="E62" i="52"/>
  <c r="G14" i="30"/>
  <c r="G22" i="30"/>
  <c r="M22" i="30" s="1"/>
  <c r="R22" i="30" s="1"/>
  <c r="M26" i="30"/>
  <c r="R26" i="30" s="1"/>
  <c r="N263" i="30" l="1"/>
  <c r="G10" i="30"/>
  <c r="G102" i="30"/>
  <c r="G98" i="30" s="1"/>
  <c r="M356" i="30" l="1"/>
  <c r="R356" i="30" s="1"/>
  <c r="N86" i="30" l="1"/>
  <c r="J35" i="32" s="1"/>
  <c r="N102" i="30"/>
  <c r="N98" i="30" s="1"/>
  <c r="R90" i="30"/>
  <c r="J47" i="32" l="1"/>
  <c r="J43" i="32"/>
  <c r="N175" i="30"/>
  <c r="N339" i="30" l="1"/>
  <c r="J39" i="32"/>
  <c r="R175" i="30"/>
  <c r="N19" i="30"/>
  <c r="N335" i="30" l="1"/>
  <c r="N368" i="30"/>
  <c r="F335" i="30"/>
  <c r="F263" i="30"/>
  <c r="N11" i="30"/>
  <c r="N111" i="30"/>
  <c r="N377" i="30" s="1"/>
  <c r="N365" i="30" s="1"/>
  <c r="M311" i="30"/>
  <c r="R311" i="30" s="1"/>
  <c r="M167" i="30"/>
  <c r="R167" i="30" s="1"/>
  <c r="F368" i="30" l="1"/>
  <c r="F364" i="30" s="1"/>
  <c r="N99" i="30"/>
  <c r="R99" i="30" s="1"/>
  <c r="M295" i="30"/>
  <c r="R295" i="30" s="1"/>
  <c r="F866" i="50" l="1"/>
  <c r="C128" i="2" s="1"/>
  <c r="E128" i="2" s="1"/>
  <c r="F380" i="30"/>
  <c r="G263" i="30"/>
  <c r="H866" i="50" l="1"/>
  <c r="R365" i="30"/>
  <c r="N381" i="30"/>
  <c r="R381" i="30" s="1"/>
  <c r="Q8" i="30" l="1"/>
  <c r="P14" i="30"/>
  <c r="P8" i="30" l="1"/>
  <c r="P10" i="30"/>
  <c r="O19" i="30" l="1"/>
  <c r="O14" i="30"/>
  <c r="O10" i="30" s="1"/>
  <c r="G119" i="30" l="1"/>
  <c r="G339" i="30" s="1"/>
  <c r="G127" i="30"/>
  <c r="M127" i="30" s="1"/>
  <c r="R127" i="30" s="1"/>
  <c r="M131" i="30"/>
  <c r="O11" i="30"/>
  <c r="R11" i="30" s="1"/>
  <c r="O111" i="30"/>
  <c r="F62" i="30"/>
  <c r="O8" i="30"/>
  <c r="M119" i="30" l="1"/>
  <c r="R119" i="30" s="1"/>
  <c r="R111" i="30"/>
  <c r="O377" i="30"/>
  <c r="R377" i="30" s="1"/>
  <c r="R251" i="30"/>
  <c r="O107" i="30" l="1"/>
  <c r="R107" i="30" s="1"/>
  <c r="O102" i="30"/>
  <c r="O368" i="30" s="1"/>
  <c r="L115" i="30"/>
  <c r="F115" i="30"/>
  <c r="M124" i="30"/>
  <c r="B235" i="30"/>
  <c r="B239" i="30" s="1"/>
  <c r="B243" i="30" s="1"/>
  <c r="B251" i="30" s="1"/>
  <c r="B259" i="30" s="1"/>
  <c r="I115" i="30" l="1"/>
  <c r="O98" i="30"/>
  <c r="R239" i="30" l="1"/>
  <c r="O115" i="30"/>
  <c r="P115" i="30"/>
  <c r="Q115" i="30"/>
  <c r="G73" i="50"/>
  <c r="F73" i="50"/>
  <c r="H329" i="50"/>
  <c r="M307" i="30"/>
  <c r="R307" i="30" s="1"/>
  <c r="M137" i="30"/>
  <c r="R137" i="30" s="1"/>
  <c r="I22" i="54" l="1"/>
  <c r="M145" i="30"/>
  <c r="R145" i="30" s="1"/>
  <c r="M271" i="30"/>
  <c r="R271" i="30" s="1"/>
  <c r="M141" i="30" l="1"/>
  <c r="R141" i="30" s="1"/>
  <c r="R259" i="30" l="1"/>
  <c r="D38" i="54" s="1"/>
  <c r="I38" i="54" s="1"/>
  <c r="K335" i="30"/>
  <c r="M243" i="30"/>
  <c r="R243" i="30" s="1"/>
  <c r="E44" i="2" l="1"/>
  <c r="H339" i="30"/>
  <c r="H335" i="30" s="1"/>
  <c r="H368" i="30" l="1"/>
  <c r="H364" i="30" s="1"/>
  <c r="H380" i="30" s="1"/>
  <c r="F869" i="50"/>
  <c r="H869" i="50" l="1"/>
  <c r="C131" i="2"/>
  <c r="E131" i="2" s="1"/>
  <c r="H263" i="30"/>
  <c r="M263" i="30" s="1"/>
  <c r="R263" i="30" s="1"/>
  <c r="M267" i="30"/>
  <c r="R267" i="30" s="1"/>
  <c r="F874" i="50"/>
  <c r="F363" i="30"/>
  <c r="F865" i="50" l="1"/>
  <c r="H865" i="50" s="1"/>
  <c r="F379" i="30"/>
  <c r="C136" i="2"/>
  <c r="E136" i="2" s="1"/>
  <c r="H874" i="50"/>
  <c r="R19" i="30"/>
  <c r="I339" i="30"/>
  <c r="C127" i="2" l="1"/>
  <c r="E127" i="2" s="1"/>
  <c r="I335" i="30"/>
  <c r="L335" i="30"/>
  <c r="M303" i="30"/>
  <c r="G115" i="30"/>
  <c r="H317" i="50"/>
  <c r="M95" i="30"/>
  <c r="R95" i="30" s="1"/>
  <c r="O86" i="30"/>
  <c r="P86" i="30"/>
  <c r="Q86" i="30"/>
  <c r="M360" i="30" l="1"/>
  <c r="G368" i="30"/>
  <c r="G364" i="30" s="1"/>
  <c r="F882" i="50"/>
  <c r="G335" i="30"/>
  <c r="M339" i="30"/>
  <c r="R86" i="30"/>
  <c r="K35" i="32" s="1"/>
  <c r="M10" i="30"/>
  <c r="R10" i="30" s="1"/>
  <c r="M14" i="30"/>
  <c r="R14" i="30" s="1"/>
  <c r="N35" i="32" l="1"/>
  <c r="K47" i="32"/>
  <c r="F870" i="50"/>
  <c r="C132" i="2" s="1"/>
  <c r="E132" i="2" s="1"/>
  <c r="G380" i="30"/>
  <c r="R360" i="30"/>
  <c r="F907" i="50"/>
  <c r="H882" i="50"/>
  <c r="C144" i="2"/>
  <c r="E144" i="2" s="1"/>
  <c r="M335" i="30"/>
  <c r="H870" i="50" l="1"/>
  <c r="H907" i="50"/>
  <c r="C173" i="2"/>
  <c r="E173" i="2" s="1"/>
  <c r="H62" i="30"/>
  <c r="I66" i="30"/>
  <c r="I54" i="30" s="1"/>
  <c r="J66" i="30"/>
  <c r="J54" i="30" s="1"/>
  <c r="K66" i="30"/>
  <c r="K54" i="30" s="1"/>
  <c r="L66" i="30"/>
  <c r="L54" i="30" s="1"/>
  <c r="J50" i="30" l="1"/>
  <c r="J102" i="30"/>
  <c r="K50" i="30"/>
  <c r="K102" i="30"/>
  <c r="I50" i="30"/>
  <c r="I102" i="30"/>
  <c r="I368" i="30" s="1"/>
  <c r="M54" i="30"/>
  <c r="L50" i="30"/>
  <c r="L102" i="30"/>
  <c r="I62" i="30"/>
  <c r="K62" i="30"/>
  <c r="J62" i="30"/>
  <c r="L62" i="30"/>
  <c r="K368" i="30" l="1"/>
  <c r="K364" i="30" s="1"/>
  <c r="K380" i="30" s="1"/>
  <c r="K98" i="30"/>
  <c r="I98" i="30"/>
  <c r="M102" i="30"/>
  <c r="M368" i="30" s="1"/>
  <c r="I364" i="30"/>
  <c r="F878" i="50" s="1"/>
  <c r="J368" i="30"/>
  <c r="J364" i="30" s="1"/>
  <c r="J380" i="30" s="1"/>
  <c r="J98" i="30"/>
  <c r="L368" i="30"/>
  <c r="L364" i="30" s="1"/>
  <c r="L380" i="30" s="1"/>
  <c r="L98" i="30"/>
  <c r="M50" i="30"/>
  <c r="R50" i="30" s="1"/>
  <c r="R53" i="30"/>
  <c r="K26" i="32" s="1"/>
  <c r="M62" i="30"/>
  <c r="R62" i="30" s="1"/>
  <c r="J49" i="30"/>
  <c r="J101" i="30"/>
  <c r="J367" i="30" s="1"/>
  <c r="J363" i="30" s="1"/>
  <c r="J379" i="30" s="1"/>
  <c r="L49" i="30"/>
  <c r="L101" i="30"/>
  <c r="L367" i="30" s="1"/>
  <c r="L363" i="30" s="1"/>
  <c r="L379" i="30" s="1"/>
  <c r="I49" i="30"/>
  <c r="I101" i="30"/>
  <c r="K49" i="30"/>
  <c r="K101" i="30"/>
  <c r="K367" i="30" s="1"/>
  <c r="K363" i="30" s="1"/>
  <c r="K379" i="30" s="1"/>
  <c r="M364" i="30" l="1"/>
  <c r="M98" i="30"/>
  <c r="I380" i="30"/>
  <c r="M380" i="30" s="1"/>
  <c r="K22" i="32"/>
  <c r="N22" i="32" s="1"/>
  <c r="K42" i="32"/>
  <c r="N42" i="32" s="1"/>
  <c r="N26" i="32"/>
  <c r="I367" i="30"/>
  <c r="I363" i="30" s="1"/>
  <c r="L97" i="30"/>
  <c r="K97" i="30"/>
  <c r="J97" i="30"/>
  <c r="I97" i="30"/>
  <c r="M101" i="30"/>
  <c r="M49" i="30"/>
  <c r="R49" i="30" s="1"/>
  <c r="R303" i="30"/>
  <c r="C140" i="2" l="1"/>
  <c r="E140" i="2" s="1"/>
  <c r="H878" i="50"/>
  <c r="F886" i="50"/>
  <c r="F877" i="50"/>
  <c r="H877" i="50" s="1"/>
  <c r="I379" i="30"/>
  <c r="M379" i="30" s="1"/>
  <c r="R379" i="30" s="1"/>
  <c r="R101" i="30"/>
  <c r="M367" i="30"/>
  <c r="R367" i="30" s="1"/>
  <c r="N364" i="30"/>
  <c r="R219" i="30"/>
  <c r="M97" i="30"/>
  <c r="R97" i="30" s="1"/>
  <c r="R223" i="30"/>
  <c r="I10" i="54" s="1"/>
  <c r="F911" i="50" l="1"/>
  <c r="C177" i="2" s="1"/>
  <c r="C90" i="2" s="1"/>
  <c r="C148" i="2"/>
  <c r="H886" i="50"/>
  <c r="C139" i="2"/>
  <c r="E139" i="2" s="1"/>
  <c r="R364" i="30"/>
  <c r="N380" i="30"/>
  <c r="R380" i="30" s="1"/>
  <c r="R339" i="30"/>
  <c r="M115" i="30"/>
  <c r="R115" i="30" s="1"/>
  <c r="E148" i="2" l="1"/>
  <c r="C169" i="2"/>
  <c r="R335" i="30"/>
  <c r="M270" i="30"/>
  <c r="R270" i="30" s="1"/>
  <c r="M363" i="30" l="1"/>
  <c r="R363" i="30" s="1"/>
  <c r="F873" i="50"/>
  <c r="H873" i="50" l="1"/>
  <c r="C135" i="2"/>
  <c r="E135" i="2" s="1"/>
  <c r="S115" i="30" l="1"/>
  <c r="H860" i="50" l="1"/>
  <c r="P102" i="30" l="1"/>
  <c r="P368" i="30" s="1"/>
  <c r="Q102" i="30"/>
  <c r="Q368" i="30" s="1"/>
  <c r="P98" i="30"/>
  <c r="Q98" i="30"/>
  <c r="R98" i="30" l="1"/>
  <c r="R368" i="30"/>
  <c r="R102" i="30"/>
  <c r="M135" i="30" l="1"/>
  <c r="R135" i="30" s="1"/>
  <c r="S263" i="30" l="1"/>
  <c r="E66" i="52"/>
  <c r="E68" i="52"/>
  <c r="R300" i="30"/>
  <c r="R131" i="30"/>
  <c r="R321" i="30" l="1"/>
  <c r="E64" i="52"/>
  <c r="E71" i="52" s="1"/>
  <c r="G895" i="50" l="1"/>
  <c r="D157" i="2" s="1"/>
  <c r="E157" i="2" s="1"/>
  <c r="E43" i="52"/>
  <c r="H861" i="50"/>
  <c r="H895" i="50" l="1"/>
  <c r="C142" i="2"/>
  <c r="E142" i="2" s="1"/>
  <c r="M67" i="30" l="1"/>
  <c r="R67" i="30" l="1"/>
  <c r="R54" i="30"/>
  <c r="K27" i="32" l="1"/>
  <c r="N27" i="32" s="1"/>
  <c r="R70" i="30"/>
  <c r="M66" i="30"/>
  <c r="K23" i="32" l="1"/>
  <c r="N23" i="32" s="1"/>
  <c r="K43" i="32"/>
  <c r="N43" i="32" s="1"/>
  <c r="R66" i="30"/>
  <c r="K39" i="32" l="1"/>
  <c r="E146" i="2"/>
  <c r="C167" i="2" l="1"/>
  <c r="R207" i="30" l="1"/>
  <c r="H891" i="50" l="1"/>
  <c r="G903" i="50"/>
  <c r="H903" i="50" l="1"/>
  <c r="D165" i="2"/>
  <c r="G911" i="50"/>
  <c r="D177" i="2" s="1"/>
  <c r="D167" i="2"/>
  <c r="E167" i="2" s="1"/>
  <c r="D169" i="2" l="1"/>
  <c r="E169" i="2" s="1"/>
  <c r="E165" i="2"/>
  <c r="H911" i="50"/>
  <c r="N46" i="32"/>
  <c r="K38" i="32"/>
  <c r="D38" i="32"/>
  <c r="H38" i="32"/>
  <c r="F40" i="32"/>
  <c r="N40" i="32" s="1"/>
  <c r="N48" i="32"/>
  <c r="L38" i="32"/>
  <c r="N39" i="32"/>
  <c r="N47" i="32"/>
  <c r="E38" i="32"/>
  <c r="J38" i="32"/>
  <c r="G38" i="32"/>
  <c r="I38" i="32"/>
  <c r="M38" i="32"/>
  <c r="E177" i="2" l="1"/>
  <c r="D90" i="2"/>
  <c r="E90" i="2" s="1"/>
  <c r="N38" i="32"/>
  <c r="M375" i="30"/>
  <c r="R375" i="30" s="1"/>
  <c r="M359" i="30"/>
  <c r="R359" i="30" l="1"/>
  <c r="F906" i="50"/>
  <c r="C172" i="2" s="1"/>
  <c r="E172" i="2" s="1"/>
  <c r="F881" i="50"/>
  <c r="C143" i="2" s="1"/>
  <c r="E143" i="2" s="1"/>
  <c r="M334" i="30"/>
  <c r="R334" i="30" s="1"/>
  <c r="F885" i="50" l="1"/>
  <c r="F910" i="50" s="1"/>
  <c r="H881" i="50"/>
  <c r="H885" i="50" l="1"/>
  <c r="C147" i="2"/>
  <c r="E147" i="2" s="1"/>
  <c r="C176" i="2"/>
  <c r="E176" i="2" s="1"/>
  <c r="H910" i="50"/>
  <c r="C89" i="2" l="1"/>
  <c r="E89" i="2" s="1"/>
  <c r="C168" i="2"/>
  <c r="E168" i="2" s="1"/>
  <c r="E82" i="59" l="1"/>
  <c r="E89" i="59"/>
  <c r="E94" i="59" s="1"/>
  <c r="F84" i="59" l="1"/>
  <c r="C82" i="59"/>
  <c r="F82" i="59" s="1"/>
  <c r="C89" i="59"/>
  <c r="F89" i="59" s="1"/>
  <c r="C94" i="59" l="1"/>
  <c r="F94" i="59" s="1"/>
</calcChain>
</file>

<file path=xl/sharedStrings.xml><?xml version="1.0" encoding="utf-8"?>
<sst xmlns="http://schemas.openxmlformats.org/spreadsheetml/2006/main" count="2719" uniqueCount="745">
  <si>
    <t xml:space="preserve">Közfoglalkoztatás 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</si>
  <si>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</si>
  <si>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</si>
  <si>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</si>
  <si>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</si>
  <si>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</si>
  <si>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</si>
  <si>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</si>
  <si>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</si>
  <si>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</si>
  <si>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</si>
  <si>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Személyi juttatások</t>
  </si>
  <si>
    <t>Dologi kiadások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</si>
  <si>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</si>
  <si>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</si>
  <si>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</si>
  <si>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</si>
  <si>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</si>
  <si>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</si>
  <si>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</si>
  <si>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</si>
  <si>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</si>
  <si>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t>Beruházások</t>
  </si>
  <si>
    <t>Felújítások</t>
  </si>
  <si>
    <t>III.</t>
  </si>
  <si>
    <t>M E G N E V E Z É S</t>
  </si>
  <si>
    <t>Gépjárműadó</t>
  </si>
  <si>
    <t>Egyéb felhalmozási célú kiadások</t>
  </si>
  <si>
    <t>Cím</t>
  </si>
  <si>
    <t>Cím ,</t>
  </si>
  <si>
    <t>Személyi</t>
  </si>
  <si>
    <t>Dologi</t>
  </si>
  <si>
    <t>Beruházá-</t>
  </si>
  <si>
    <t>Alcím</t>
  </si>
  <si>
    <t xml:space="preserve">             alcím megnevezése</t>
  </si>
  <si>
    <t>kiadások</t>
  </si>
  <si>
    <t>célú kiadások</t>
  </si>
  <si>
    <t>sok, felújí-</t>
  </si>
  <si>
    <t>Szám</t>
  </si>
  <si>
    <t>tások</t>
  </si>
  <si>
    <t>Város -és községgazdálkodási szolgáltatás</t>
  </si>
  <si>
    <t>Közvilágítás</t>
  </si>
  <si>
    <t>Ö S S Z E S E N</t>
  </si>
  <si>
    <t xml:space="preserve"> </t>
  </si>
  <si>
    <t xml:space="preserve">Felújítások </t>
  </si>
  <si>
    <t>Finanszírozási kiadások</t>
  </si>
  <si>
    <t>Adóigazgatási tevékenység</t>
  </si>
  <si>
    <t>1</t>
  </si>
  <si>
    <t>Közfoglalkoztatás</t>
  </si>
  <si>
    <t>Egyéb működési célú kiadások</t>
  </si>
  <si>
    <t>juttatások</t>
  </si>
  <si>
    <t>Ellátottak pénzbeli juttatásai</t>
  </si>
  <si>
    <t>Felhal-mozási</t>
  </si>
  <si>
    <t>Közhatalmi bevételek</t>
  </si>
  <si>
    <t>k</t>
  </si>
  <si>
    <t>ö</t>
  </si>
  <si>
    <t>Munkaadókat terhelő járulékok és szociális hozzájárulási adó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</si>
  <si>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</si>
  <si>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</si>
  <si>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</si>
  <si>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</si>
  <si>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>Működési költségvetés összesen:</t>
  </si>
  <si>
    <t>Munkaadókat terhelő</t>
  </si>
  <si>
    <t>járulékok és szociális</t>
  </si>
  <si>
    <t>hozzájárulási adó</t>
  </si>
  <si>
    <t>Ebből: kötelező feladatellátás</t>
  </si>
  <si>
    <t>önként vállalt feladatok</t>
  </si>
  <si>
    <t>Európai Uniós forrásból finanszírozott támogatással megvalósuló programok, projektek</t>
  </si>
  <si>
    <t>Európai Uniós forrásból finanszírozott támogatással megvalósuló programokhoz, projektekhez történő hozzájárulás</t>
  </si>
  <si>
    <t>AZ ÖNKORMÁNYZAT ÁLTAL IRÁNYÍTOTT KÖLTSÉGVETÉSI SZERVEK  BEVÉTELEI</t>
  </si>
  <si>
    <t>Saját bevételből, hazai támogatásból megvalósuló programok, projektek</t>
  </si>
  <si>
    <t>állami (államigazgatási) feladat</t>
  </si>
  <si>
    <t>önként vállalt feladatokhoz</t>
  </si>
  <si>
    <t>ebből: kötelező feladatellátáshoz</t>
  </si>
  <si>
    <t>- általános működési támogatás</t>
  </si>
  <si>
    <t>BEVÉTELEK MINDÖSSZESEN (I.+II.+III.)</t>
  </si>
  <si>
    <t>Polgármesteri Hivatal pénzbeli és természetbeni ellátásai</t>
  </si>
  <si>
    <t>Civil szervezetek, személyek támogatása</t>
  </si>
  <si>
    <t>Saját bevételből, hazai támogatásból megvalósuló programok, projektek támogatása</t>
  </si>
  <si>
    <t>Rendszeres gyermekvédelmi kedvezmény</t>
  </si>
  <si>
    <t>rovat</t>
  </si>
  <si>
    <t>KÖLTSÉGVETÉSI BEVÉTELEK               (B1-7.)</t>
  </si>
  <si>
    <t>A</t>
  </si>
  <si>
    <t>B</t>
  </si>
  <si>
    <t>B111</t>
  </si>
  <si>
    <t>B112</t>
  </si>
  <si>
    <t>- egyes köznevelési feladatok támogatása</t>
  </si>
  <si>
    <t>B113</t>
  </si>
  <si>
    <t>B114</t>
  </si>
  <si>
    <t>- kulturális feladatok támogatása</t>
  </si>
  <si>
    <t>B115</t>
  </si>
  <si>
    <t>B116</t>
  </si>
  <si>
    <t>- kiegészítő támogatások</t>
  </si>
  <si>
    <t>B12. Elvonások és befizetések bevételei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</si>
  <si>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</si>
  <si>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</si>
  <si>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</si>
  <si>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</si>
  <si>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>Rendszeres gyermekvédelmi támogatás</t>
  </si>
  <si>
    <t>B31. Jövedelemadók</t>
  </si>
  <si>
    <t>B32. Szociális hozzájárulási adó és járulákok</t>
  </si>
  <si>
    <t>Magánszemélyek kommunális adója</t>
  </si>
  <si>
    <t>Iparűzési adó</t>
  </si>
  <si>
    <t>B36. Egyéb közhatalmi bevételek:</t>
  </si>
  <si>
    <t>B36</t>
  </si>
  <si>
    <t>B4. Működési bevételek</t>
  </si>
  <si>
    <t>B404</t>
  </si>
  <si>
    <t>B403</t>
  </si>
  <si>
    <t>B408</t>
  </si>
  <si>
    <t>B402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</si>
  <si>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</si>
  <si>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</si>
  <si>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</si>
  <si>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</si>
  <si>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KÖLTSÉGVETÉSI KIADÁSOK                                       (K1-8.)</t>
  </si>
  <si>
    <t>Működési költségvetés:</t>
  </si>
  <si>
    <t>K2.</t>
  </si>
  <si>
    <t>K5.</t>
  </si>
  <si>
    <t>Felhalmozási költségvetés:</t>
  </si>
  <si>
    <t>K6.</t>
  </si>
  <si>
    <t>K7.</t>
  </si>
  <si>
    <t>K8.</t>
  </si>
  <si>
    <t>Felhalmozási költségvetés összesen:</t>
  </si>
  <si>
    <t>K9.Finanszírozási kiadások:</t>
  </si>
  <si>
    <t xml:space="preserve">KIADÁSOK ÖSSZESEN </t>
  </si>
  <si>
    <t>KIADÁSOK MINDÖSSZESEN (I+II+III)</t>
  </si>
  <si>
    <t>Ellátottak</t>
  </si>
  <si>
    <t>pénzbeli</t>
  </si>
  <si>
    <t>juttatásai</t>
  </si>
  <si>
    <t>Felhalmozási célú átvett pénzeszközök</t>
  </si>
  <si>
    <t>Működési célú átvett pénzeszközök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</si>
  <si>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</si>
  <si>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</si>
  <si>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</si>
  <si>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</si>
  <si>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- szociális, gyermekjóléti és gyermekétkeztetési feladatok támogatása</t>
  </si>
  <si>
    <t>B3. Közhatalmi bevételek (B31.+…+B36.)</t>
  </si>
  <si>
    <t>B8131</t>
  </si>
  <si>
    <t>B33. Bérhez és foglalkoztatáshoz kapcsolódó adók</t>
  </si>
  <si>
    <t>Működési célú</t>
  </si>
  <si>
    <t>B1. Működési célú támogatások államháztartáson belülről (B11.+…+B16.):</t>
  </si>
  <si>
    <t>B401</t>
  </si>
  <si>
    <t>Egyéb működési bevételek</t>
  </si>
  <si>
    <t>B11. Önkormányzat működési támogatásai:</t>
  </si>
  <si>
    <t>B2. Felhalmozási célú támogatások államháztartáson belülről (B21.+…+B25) - Önkormányzat:</t>
  </si>
  <si>
    <t>B34. Vagyoni típusú adók - Önkormányzat:</t>
  </si>
  <si>
    <t>B35. Termékek és szolgáltatások adói - Önkormányzat:</t>
  </si>
  <si>
    <t>Működési célú támogatások államháztar-táson belülről     B1.</t>
  </si>
  <si>
    <t>Felhalmozási célú átvett pénzeszközök     B7.</t>
  </si>
  <si>
    <t>Működési bevételek    B4.</t>
  </si>
  <si>
    <t>Működési célú átvett pénzeszközök            B6.</t>
  </si>
  <si>
    <t>Felhalmozási célú támogatások államháztar-táson belülről      B2.</t>
  </si>
  <si>
    <t>Felhal-mozási     célú</t>
  </si>
  <si>
    <t xml:space="preserve">B16 </t>
  </si>
  <si>
    <t xml:space="preserve">B25 </t>
  </si>
  <si>
    <t>Kamatbevételek</t>
  </si>
  <si>
    <t>Szolgáltatások ellenértéke</t>
  </si>
  <si>
    <t>Áru- és készletértékesítés ellenértéke</t>
  </si>
  <si>
    <t>Közvetített szolgáltatások ellenértéke</t>
  </si>
  <si>
    <t>Egyéb közhatalmi bevételek</t>
  </si>
  <si>
    <t>Tulajdonosi bevételek</t>
  </si>
  <si>
    <t>B52-53</t>
  </si>
  <si>
    <t>államház-tartáson kívülre</t>
  </si>
  <si>
    <t>államház-tartáson belülre</t>
  </si>
  <si>
    <t>tarta-lékok</t>
  </si>
  <si>
    <t>Egyéb felhalmozás célú kiadások</t>
  </si>
  <si>
    <t>BERUHÁZÁSOK, FELÚJÍTÁSOK ÉS EGYÉB FELHALMOZÁSI</t>
  </si>
  <si>
    <t>JELLEGŰ KIADÁSOK, TÁMOGATÁSOK ÖSSZESEN</t>
  </si>
  <si>
    <t>Beruházások és felújítások összesen</t>
  </si>
  <si>
    <t>Önkormányzati hozzájárulás</t>
  </si>
  <si>
    <t>B407</t>
  </si>
  <si>
    <t>B406</t>
  </si>
  <si>
    <t>Ellátási díjak</t>
  </si>
  <si>
    <t>Kiszámlázott általános forgalmi adó</t>
  </si>
  <si>
    <t>B405</t>
  </si>
  <si>
    <t>k: kötelező, ö: önként vállalt, á: államigaz-gatás feladat</t>
  </si>
  <si>
    <t>k: kötelező, ö: önként vállalt, á: államigaz-gatási feladat</t>
  </si>
  <si>
    <t>k: kötelező, ö: önként vállalt, á: állam-igaz-gatási feladat</t>
  </si>
  <si>
    <t>KÖLTSÉGVETÉSI BEVÉTELEK ÖSSZESEN (I.+II.)</t>
  </si>
  <si>
    <t>Az Önkormányzat által irányított költségvetési szervek költségvetési bevételei</t>
  </si>
  <si>
    <t xml:space="preserve">KÖLTSÉGVETÉSI KIADÁSOK ÖSSZESEN </t>
  </si>
  <si>
    <t>Költségvetési egyenleg - hiány (Költségvetési bevételek összesen -Költségvetési kiadások összesen)</t>
  </si>
  <si>
    <t>Értékesítések</t>
  </si>
  <si>
    <t>Cím megnevezése</t>
  </si>
  <si>
    <t>Költségvetési bevételek B1-B7.</t>
  </si>
  <si>
    <t>Finanszírozási bevételek B8.</t>
  </si>
  <si>
    <t>Család- és nővédelmi egészségügyi gondozás</t>
  </si>
  <si>
    <t>OEP támogatás - védőnő</t>
  </si>
  <si>
    <t>Família Szociális Alapszolgáltatási Központ</t>
  </si>
  <si>
    <t>Csengődi Napközi Otthonos Óvoda</t>
  </si>
  <si>
    <t>Szociális tűzifa</t>
  </si>
  <si>
    <t>Költségvetési hiány finanszírozása -  belső finanszírozás - előző év maradványának igénybevétele</t>
  </si>
  <si>
    <t xml:space="preserve">Előző évi maradvány           </t>
  </si>
  <si>
    <t xml:space="preserve"> Likviditási célú hitelek, kölcsönök törlesztése pénzügyi vállalkozásnak</t>
  </si>
  <si>
    <t>Államháztartáson belüli megelőlegezések  visszafizetése</t>
  </si>
  <si>
    <t xml:space="preserve"> 'Felhalmozási bevétel B5</t>
  </si>
  <si>
    <t>Bursa Hungarica</t>
  </si>
  <si>
    <t>Likviditási célú hitel, kölcsönök felvétele pénzügyi vállalkozástól</t>
  </si>
  <si>
    <t>Államháztartáson belüli megelőlegezések</t>
  </si>
  <si>
    <t>Gyermekvédelmi ellátások</t>
  </si>
  <si>
    <t>- működési célú költségvetési támogatás és kiegészítő támogatás</t>
  </si>
  <si>
    <t>BEVÉTELEK ÖSSZESEN A+B</t>
  </si>
  <si>
    <t>Nyári diákmunka támogatása</t>
  </si>
  <si>
    <t>B351</t>
  </si>
  <si>
    <t>B354</t>
  </si>
  <si>
    <t>Egyéb kiadói tevékenység</t>
  </si>
  <si>
    <t>Étkeztetés</t>
  </si>
  <si>
    <t>Csengődi Polgármesteri Hivatal</t>
  </si>
  <si>
    <t>Csengőd Község Önkormányzata</t>
  </si>
  <si>
    <t>Pályázatok</t>
  </si>
  <si>
    <t>Társulási hozzájárulás</t>
  </si>
  <si>
    <t>Előző év költségvetési maradványának igénybevétele</t>
  </si>
  <si>
    <t>Szociális és gyermekjóléti feladatok</t>
  </si>
  <si>
    <t>Étkezetési feladatok</t>
  </si>
  <si>
    <t>INTÉZMÉNYEK ÖSSZESEN ( 1. - 3. sorok )</t>
  </si>
  <si>
    <t>Rendkívüli települési támogatás</t>
  </si>
  <si>
    <t>Önkormányzat igazgatási tevékenysége</t>
  </si>
  <si>
    <t>Köztemetés</t>
  </si>
  <si>
    <t>Közutak fenntarása</t>
  </si>
  <si>
    <t>Önkormányzati vagyongazdálkodás, hasznosítás</t>
  </si>
  <si>
    <t>Önkormányzati rendezvények</t>
  </si>
  <si>
    <t xml:space="preserve"> Köztemető fenntartása</t>
  </si>
  <si>
    <t>Szociális, egészségügyi, gyermekvédelmi ellátások, segélyek, támogatások</t>
  </si>
  <si>
    <t>Összesen 1-3. sorok</t>
  </si>
  <si>
    <t>B. Az Önkormányzat bevételei összesen B1.+…+B8.</t>
  </si>
  <si>
    <t>Közfoglalkoztatási mintaprogram</t>
  </si>
  <si>
    <t>KÖFOG-1.2.1-VEKOP-16.-2016-00363.</t>
  </si>
  <si>
    <t xml:space="preserve">TOP-3.2.1-15-BK1-2016-00037. </t>
  </si>
  <si>
    <t xml:space="preserve">TOP-3.2.2-15-BK1-2016-00003 </t>
  </si>
  <si>
    <t xml:space="preserve">TOP-4.2.1-15-BK1-2016-00010 </t>
  </si>
  <si>
    <t>VP6-7.2.1-7.4.1.2-16</t>
  </si>
  <si>
    <t>Szabadidősport (rekreációs) tevékenység</t>
  </si>
  <si>
    <t>Az Önkormányzat bevételei</t>
  </si>
  <si>
    <t>Az Önkormányzat finanszírozási bevételei</t>
  </si>
  <si>
    <t>Finanszírozási bevétel</t>
  </si>
  <si>
    <t xml:space="preserve">            Házi-és gyermekügyeleti hozzájárulás</t>
  </si>
  <si>
    <t xml:space="preserve">           Ivóvíz hozzájárulás</t>
  </si>
  <si>
    <t>Összesen (II./1-7.)</t>
  </si>
  <si>
    <t>Összesen (I/1-7.)</t>
  </si>
  <si>
    <t>Képviselő testületi és igazgatási feladatok</t>
  </si>
  <si>
    <t>TOP 3.2.1-15 Energetikai pályázat</t>
  </si>
  <si>
    <t>CSENGŐD KÖZSÉG ÖNKORMÁNYZATA</t>
  </si>
  <si>
    <t>Környezetvédelmi feladatok</t>
  </si>
  <si>
    <t>Elvonások és befizetések</t>
  </si>
  <si>
    <t>TOP-4.2.1-15 Szociális étkeztetés fejlesztése</t>
  </si>
  <si>
    <t>Konyhai gépek beszerzése</t>
  </si>
  <si>
    <t>B21</t>
  </si>
  <si>
    <t>B411</t>
  </si>
  <si>
    <t>B25 Egyéb felhalmozási célú támogatások bevételei államháztartáson belülről</t>
  </si>
  <si>
    <t>B21 Felhalmozási célú önkormányzati támogatások</t>
  </si>
  <si>
    <t>tartalékok</t>
  </si>
  <si>
    <t>Létszámkeret</t>
  </si>
  <si>
    <t>Közművelődési intézmények, közösségi színterek, könyvtár működtetése</t>
  </si>
  <si>
    <t>Zöldterület-gazdálkodássa, településüzemeltetéssel kapcsolatos feladatok</t>
  </si>
  <si>
    <t>-eredeti előirányzat</t>
  </si>
  <si>
    <t>-módosított előirányzat</t>
  </si>
  <si>
    <t>-teljesítés</t>
  </si>
  <si>
    <t xml:space="preserve"> önként vállalt feladatok</t>
  </si>
  <si>
    <t>Eredeti előirányzat</t>
  </si>
  <si>
    <t>Módosított előirányzat</t>
  </si>
  <si>
    <t>Teljesítés</t>
  </si>
  <si>
    <t>Sor-szám</t>
  </si>
  <si>
    <t>1.1</t>
  </si>
  <si>
    <t>1.2</t>
  </si>
  <si>
    <t>1.3</t>
  </si>
  <si>
    <t>2</t>
  </si>
  <si>
    <t>2.1</t>
  </si>
  <si>
    <t>2.2</t>
  </si>
  <si>
    <t>1.4</t>
  </si>
  <si>
    <t>1.5</t>
  </si>
  <si>
    <t>1.6</t>
  </si>
  <si>
    <t>1.7</t>
  </si>
  <si>
    <t>10.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</si>
  <si>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</si>
  <si>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</si>
  <si>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</si>
  <si>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</si>
  <si>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</si>
  <si>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</si>
  <si>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</si>
  <si>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</si>
  <si>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</si>
  <si>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</si>
  <si>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</si>
  <si>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</si>
  <si>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10.8</t>
  </si>
  <si>
    <t>11</t>
  </si>
  <si>
    <t>12</t>
  </si>
  <si>
    <t>13</t>
  </si>
  <si>
    <t>14</t>
  </si>
  <si>
    <t>15</t>
  </si>
  <si>
    <t>16</t>
  </si>
  <si>
    <t>ÖNKORMÁNYZATI KIADÁSOK ÖSSZESEN ( 1-16 sorok )</t>
  </si>
  <si>
    <t>17.</t>
  </si>
  <si>
    <t>18.</t>
  </si>
  <si>
    <t>Tárgyi eszköz beszerzése</t>
  </si>
  <si>
    <t xml:space="preserve"> Ft-ban</t>
  </si>
  <si>
    <t>Feladat</t>
  </si>
  <si>
    <t>Az átcsoportosítás jogát gyakorolja</t>
  </si>
  <si>
    <t>Összesen:</t>
  </si>
  <si>
    <t>Az európai uniós forrásokkal támogatott program megnevezése és a pályázat célja</t>
  </si>
  <si>
    <t>Kiadások összesen</t>
  </si>
  <si>
    <t>Önerő</t>
  </si>
  <si>
    <t>Támogatás megelőlegezése önkormányzati bevételből</t>
  </si>
  <si>
    <t>Hazai - központi támogatás</t>
  </si>
  <si>
    <t>Európai Unió támogatása</t>
  </si>
  <si>
    <t>támogatás</t>
  </si>
  <si>
    <t>támogatás megelőlegezése önkormányzati bevételből</t>
  </si>
  <si>
    <t>Ezer Ft-ban</t>
  </si>
  <si>
    <t>KÖTELEZETTSÉGEK</t>
  </si>
  <si>
    <t>Kötelezettség a tárgyévet követő</t>
  </si>
  <si>
    <t>1. évben</t>
  </si>
  <si>
    <t>2. évben</t>
  </si>
  <si>
    <t>3. évben</t>
  </si>
  <si>
    <t>4. és ezt követő 10 évben</t>
  </si>
  <si>
    <t>Fogorvosi feladatok ellátásának támogatása</t>
  </si>
  <si>
    <t>ÖSSZESEN:</t>
  </si>
  <si>
    <t>KÖVETELÉSEK</t>
  </si>
  <si>
    <t>4. és ezt követő év(ek)ben</t>
  </si>
  <si>
    <t>Magyarország gazdasági stabilitásáról szóló 2011. évi CXCIV. törvény 3.§ (1) bekezdése szerinti adósságot keletkeztető ügyletek és kezességvállalások, valamint saját bevételek</t>
  </si>
  <si>
    <t>4. és ezt követő év(ek)ben a futamidő végéig, ill. a kezesség érvényesít-hetőségéig</t>
  </si>
  <si>
    <t>hitel, kölcsön felvétele, átvállalása a folyósítás, átvállalás napjától a végtörlesztés napjáig, és annak aktuális tőketartozása - tervezett</t>
  </si>
  <si>
    <t xml:space="preserve">Tervezett adósságot keletkeztető ügyletek hitelei </t>
  </si>
  <si>
    <t>saját bevételek</t>
  </si>
  <si>
    <t>2017.</t>
  </si>
  <si>
    <t>Követelések a tárgyévet követő</t>
  </si>
  <si>
    <t xml:space="preserve">Fejlesztési cél megnevezése </t>
  </si>
  <si>
    <t>Fejlesztési cél teljes összege (ezer Ft)</t>
  </si>
  <si>
    <t>Fejlesztési cél tárgyévi előirányzata (ezer Ft)</t>
  </si>
  <si>
    <t>Adósságot keletkeztető ügylet megnevezése</t>
  </si>
  <si>
    <t>Felvétel tervezett éve</t>
  </si>
  <si>
    <t>Lejárat tervezett éve</t>
  </si>
  <si>
    <t>Ügylet várható együttes összege (ezer Ft)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</si>
  <si>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</si>
  <si>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</si>
  <si>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</si>
  <si>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</si>
  <si>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</si>
  <si>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01-02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</si>
  <si>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</si>
  <si>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</si>
  <si>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</si>
  <si>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</si>
  <si>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</si>
  <si>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03-04</t>
  </si>
  <si>
    <t xml:space="preserve">Alaptevékenység maradványa + -I + -II 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</si>
  <si>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</si>
  <si>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</si>
  <si>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</si>
  <si>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</si>
  <si>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</si>
  <si>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05-06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</si>
  <si>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</si>
  <si>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</si>
  <si>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</si>
  <si>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</si>
  <si>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</si>
  <si>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07-08</t>
  </si>
  <si>
    <t>Vállalkozási tevékenység maradványa + -III + -IV</t>
  </si>
  <si>
    <t>C</t>
  </si>
  <si>
    <t>Összes maradvány A+B</t>
  </si>
  <si>
    <t>D</t>
  </si>
  <si>
    <t>Alaptevékenység kötelezettségvállalással terhelt maradványa</t>
  </si>
  <si>
    <t>E</t>
  </si>
  <si>
    <t>Alaptevékenység szabad maradványa A-D</t>
  </si>
  <si>
    <t xml:space="preserve">F </t>
  </si>
  <si>
    <t>Vállalkozási tevékenységet terhelő befizetési kötelezettség B*0,1</t>
  </si>
  <si>
    <t>G</t>
  </si>
  <si>
    <t>Vállalkozási tevékenység felhasználható maradványa B-F</t>
  </si>
  <si>
    <t>Ft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</si>
  <si>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</si>
  <si>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</si>
  <si>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</si>
  <si>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</si>
  <si>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</si>
  <si>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</si>
  <si>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</si>
  <si>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</si>
  <si>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</si>
  <si>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</si>
  <si>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</si>
  <si>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</si>
  <si>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</si>
  <si>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</si>
  <si>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</si>
  <si>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</si>
  <si>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</si>
  <si>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</si>
  <si>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</si>
  <si>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</si>
  <si>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</si>
  <si>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</si>
  <si>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</si>
  <si>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</si>
  <si>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</si>
  <si>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</si>
  <si>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</si>
  <si>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D/I/4i - ebből: költségvetési évben esedékes követelések egyéb működési bevételekre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</si>
  <si>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</si>
  <si>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</si>
  <si>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</si>
  <si>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</si>
  <si>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</si>
  <si>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</si>
  <si>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</si>
  <si>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</si>
  <si>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</si>
  <si>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 Költségvetési évet követően esedékes követelések (=D/II/1+…+D/II/8)</t>
  </si>
  <si>
    <t>D/III/1 Adott előlegek (=D/III/1a+…+D/III/1f)</t>
  </si>
  <si>
    <t>D/III/1f - ebből: túlfizetések, téves és visszajáró kifizetések</t>
  </si>
  <si>
    <t>D/III/4 Forgótőke elszámolása</t>
  </si>
  <si>
    <t>D/III/7 Folyósított, megelőlegezett társadalombiztosítási és családtámogatási ellátások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</si>
  <si>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</si>
  <si>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</si>
  <si>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</si>
  <si>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</si>
  <si>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</si>
  <si>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</si>
  <si>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</si>
  <si>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</si>
  <si>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</si>
  <si>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</si>
  <si>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</si>
  <si>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</si>
  <si>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</si>
  <si>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</si>
  <si>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</si>
  <si>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</si>
  <si>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</si>
  <si>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</si>
  <si>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</si>
  <si>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</si>
  <si>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</si>
  <si>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</si>
  <si>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H/II/3 Költségvetési évet követően esedékes kötelezettségek dologi kiadásokra</t>
  </si>
  <si>
    <t>H/II/5 Költségvetési évet követően esedékes kötelezettségek egyéb működési célú kiadásokra (&gt;=H/II/5a+H/II/5b)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</si>
  <si>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</si>
  <si>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</si>
  <si>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</si>
  <si>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</si>
  <si>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</si>
  <si>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</si>
  <si>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</si>
  <si>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</si>
  <si>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</si>
  <si>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</si>
  <si>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</si>
  <si>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VAGYONKIMUTATÁS TAGOLÁSA A KÖNYVVITELI MÉRLEGBEN SZEREPLŐ ADATOK ALAPJÁN - 2016. év</t>
  </si>
  <si>
    <t>H/I/1 Költségvetési évben esedékes kötelezettségek személyi juttatásokra</t>
  </si>
  <si>
    <t>Megnevezés</t>
  </si>
  <si>
    <t>Immateriális javak</t>
  </si>
  <si>
    <t>Ingatlanok és kapcsolódó vagyoni értékű jogok</t>
  </si>
  <si>
    <t>Beruházások és felújítások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</si>
  <si>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</si>
  <si>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</si>
  <si>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</si>
  <si>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</si>
  <si>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</si>
  <si>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</si>
  <si>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09</t>
  </si>
  <si>
    <t>10</t>
  </si>
  <si>
    <t>Egyéb csökkenés</t>
  </si>
  <si>
    <t>Összes csökkenés (=09+…+13)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</si>
  <si>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</si>
  <si>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</si>
  <si>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</si>
  <si>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</si>
  <si>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</si>
  <si>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</si>
  <si>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</si>
  <si>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20</t>
  </si>
  <si>
    <t>21</t>
  </si>
  <si>
    <t>22</t>
  </si>
  <si>
    <t>23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</si>
  <si>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</si>
  <si>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</si>
  <si>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</si>
  <si>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</si>
  <si>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</si>
  <si>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</si>
  <si>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Sorszám</t>
  </si>
  <si>
    <t>Família Szociális Alapszolgáltatási Központja</t>
  </si>
  <si>
    <t>összesen</t>
  </si>
  <si>
    <t>Közhatalmi eredményszemléletű bevételek</t>
  </si>
  <si>
    <t>Eszközök és szolgáltatások értékesítése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</si>
  <si>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</si>
  <si>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</si>
  <si>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</si>
  <si>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</si>
  <si>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</si>
  <si>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</si>
  <si>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</si>
  <si>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 (=06+07+08)</t>
  </si>
  <si>
    <t>Anyagköltség</t>
  </si>
  <si>
    <t>Igénybe vett szolgáltatások értéke</t>
  </si>
  <si>
    <t>Eladott áruk beszerzési értéke</t>
  </si>
  <si>
    <t>Anyagjellegű ráfordítások (=09+10+11+12)</t>
  </si>
  <si>
    <t>Bérköltség</t>
  </si>
  <si>
    <t>Személyi jellegű egyéb kifizetések</t>
  </si>
  <si>
    <t>Bérjárulékok</t>
  </si>
  <si>
    <t>V</t>
  </si>
  <si>
    <t>Személyi jellegű ráfordítások (=13+14+15)</t>
  </si>
  <si>
    <t>VI</t>
  </si>
  <si>
    <t>Értékcsökkenési leírás</t>
  </si>
  <si>
    <t>VII</t>
  </si>
  <si>
    <t>Egyéb ráfordítások</t>
  </si>
  <si>
    <t xml:space="preserve">A) </t>
  </si>
  <si>
    <t xml:space="preserve">TEVÉKENYSÉGEK EREDMÉNYE (=I±II+III-IV-V-VI-VII) </t>
  </si>
  <si>
    <t>Egyéb kapott (járó) kamatok és kamatjellegű eredményszemléletű bevételek</t>
  </si>
  <si>
    <t>Pénzügyi műveletek egyéb eredményszemléletű bevételei (&gt;=18a)</t>
  </si>
  <si>
    <t>VIII</t>
  </si>
  <si>
    <t>Pénzügyi műveletek eredményszemléletű bevételei (=16+17+18)</t>
  </si>
  <si>
    <t>Fizetendő kamatok és kamatjellegű ráfordítások</t>
  </si>
  <si>
    <t>Részesedések, értékpapírok, pénzeszközök értékvesztése</t>
  </si>
  <si>
    <t>Pénzügyi műveletek egyéb ráfordításai (&gt;=21a)</t>
  </si>
  <si>
    <t>21a</t>
  </si>
  <si>
    <t>- ebből: árfolyamveszteség</t>
  </si>
  <si>
    <t>IX</t>
  </si>
  <si>
    <t>Pénzügyi műveletek ráfordításai (=19+20+21)</t>
  </si>
  <si>
    <t xml:space="preserve">B) </t>
  </si>
  <si>
    <t>PÉNZÜGYI MŰVELETEK EREDMÉNYE (=VIII-IX)</t>
  </si>
  <si>
    <t xml:space="preserve">C) </t>
  </si>
  <si>
    <t>SZOKÁSOS EREDMÉNY (=±A±B)</t>
  </si>
  <si>
    <t>Felhalmozási célú támogatások eredményszemléletű bevételei</t>
  </si>
  <si>
    <t>Különféle rendkívüli eredményszemléletű bevételek</t>
  </si>
  <si>
    <t>X</t>
  </si>
  <si>
    <t>Rendkívüli eredményszemléletű bevételek (=22+23)</t>
  </si>
  <si>
    <t>XI</t>
  </si>
  <si>
    <t>Rendkívüli ráfordítások</t>
  </si>
  <si>
    <t xml:space="preserve">D) </t>
  </si>
  <si>
    <t>RENDKÍVÜLI EREDMÉNY(=X-XI)</t>
  </si>
  <si>
    <t xml:space="preserve">E) </t>
  </si>
  <si>
    <t>MÉRLEG SZERINTI EREDMÉNY (=±C±D)</t>
  </si>
  <si>
    <t>ügyek száma (db)</t>
  </si>
  <si>
    <t>összeg (Ft)</t>
  </si>
  <si>
    <t>lakosság részére lakásépítéshez, felújításhoz nyújtott kölcsön elengedése</t>
  </si>
  <si>
    <t>adókedvezmények</t>
  </si>
  <si>
    <t>Szöveges indoklás:</t>
  </si>
  <si>
    <t>Lejárat éve</t>
  </si>
  <si>
    <t>Állomány</t>
  </si>
  <si>
    <t>Cél</t>
  </si>
  <si>
    <t>Hitelek, kötvények</t>
  </si>
  <si>
    <t>Folyószámla-hitel keret - Rónasági Takarékszövetkezet.</t>
  </si>
  <si>
    <t>Folyamatos működési feladatok</t>
  </si>
  <si>
    <t xml:space="preserve"> Az önkormányzatok általános, köznevelési és szociális feladataihoz kapcsolódó támogatások elszámolása</t>
  </si>
  <si>
    <t>Költségvetési törvény alapján feladatátvétellel/feladatátadással korrigált támogatás</t>
  </si>
  <si>
    <t>Támogatás évközi változása - Május 15.</t>
  </si>
  <si>
    <t>Támogatás évközi változása - Október 1.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</si>
  <si>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</si>
  <si>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</si>
  <si>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</si>
  <si>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</si>
  <si>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Többlettámogatás (ha a 7-6+9 &gt;0, akkor 7-6+9; egyébként 0)</t>
  </si>
  <si>
    <t>Visszafizetési kötelezettség (ha a 7-6+9 &lt;0, akkor 7-6+9 abszolútértéke; egyébként 0)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</si>
  <si>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</si>
  <si>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</si>
  <si>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</si>
  <si>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</si>
  <si>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40</t>
  </si>
  <si>
    <t> </t>
  </si>
  <si>
    <t>Ft-ban</t>
  </si>
  <si>
    <t>Família szociális Alapszolgáltatási Központ</t>
  </si>
  <si>
    <t>Tárgyévi rovaton elszámolt</t>
  </si>
  <si>
    <t>bevétel (+)</t>
  </si>
  <si>
    <t>kiadás (-)</t>
  </si>
  <si>
    <t>Értékpapír - és hitelműveletek (+;-)</t>
  </si>
  <si>
    <t>Finanszírozási bevételek, kiadások valamint eszköz- és forrásoldali egyéb sajátos elszámolások egyenlege (+;-)</t>
  </si>
  <si>
    <t>Általános forgalmi adó bevételek</t>
  </si>
  <si>
    <t>B7</t>
  </si>
  <si>
    <t>Előző év költségvetési maradványának igénybevétele, előző évek tartalékának maradványa - várható összeg ( intmények és önkormányzat/önkormányzat és ph.)</t>
  </si>
  <si>
    <t>B34</t>
  </si>
  <si>
    <t>B410</t>
  </si>
  <si>
    <t>K1</t>
  </si>
  <si>
    <t>K3</t>
  </si>
  <si>
    <t>K4</t>
  </si>
  <si>
    <t>I. Csengőd Község Önkormányzatánál már folyamatban lévő programok, projektek</t>
  </si>
  <si>
    <t>ASP rendszerhez történő csatlakozással kapcsolatos fejlesztések</t>
  </si>
  <si>
    <t>Energetikai beruházás</t>
  </si>
  <si>
    <t>Biomassza fűtésrendszer kialakítása</t>
  </si>
  <si>
    <t>Szociális étkeztetés fejlesztése</t>
  </si>
  <si>
    <t>Külterületi út, "Telefonos út" stabilizálása</t>
  </si>
  <si>
    <t>II. Csengőd Község Önkormányzata támogatásával megvalósuló projektek, programok</t>
  </si>
  <si>
    <t>C/III/2 Kincstárban vezetett forintszámlák</t>
  </si>
  <si>
    <t>D/I/5 Költségvetési évben esedékes követelések felhalmozási bevételre (=D/I/5a+…+D/I/5e)</t>
  </si>
  <si>
    <t>D/I/5a - ebből: költségvetési évben esedékes követelések ingatlanok értékesítésére</t>
  </si>
  <si>
    <t>D/III/1d - ebből: igénybe vett szolgáltatásra adott előleg</t>
  </si>
  <si>
    <t>D/III/1e - ebből: foglalkoztatottaknak adott előleg</t>
  </si>
  <si>
    <t>E/I/4 Más előzetesen felszámított le nemvont általános forgalmi adó</t>
  </si>
  <si>
    <t>A/1/1 Vagyon értékű jogok</t>
  </si>
  <si>
    <t>Felhalmozási célú támogatások eredményszemléletű bevételi</t>
  </si>
  <si>
    <t>Tevékenység  nettó eredményszemléletű bevételei</t>
  </si>
  <si>
    <t xml:space="preserve">helyi adónál, gépjárműadónál biztosított kedvezmény, mentesség összege adónemenként </t>
  </si>
  <si>
    <t>.</t>
  </si>
  <si>
    <t>helyiségek, eszközök hasznosításából származó bevételből nyújtott kedvezmény, mentesség (alkalmomak száma/ft)</t>
  </si>
  <si>
    <t xml:space="preserve">Térítésmentes használók </t>
  </si>
  <si>
    <r>
      <t>Képzési központ</t>
    </r>
    <r>
      <rPr>
        <b/>
        <sz val="7"/>
        <rFont val="Arial"/>
        <family val="2"/>
        <charset val="238"/>
      </rPr>
      <t>7</t>
    </r>
  </si>
  <si>
    <r>
      <t xml:space="preserve">1  </t>
    </r>
    <r>
      <rPr>
        <sz val="8"/>
        <rFont val="Times New Roman"/>
        <family val="1"/>
        <charset val="238"/>
      </rPr>
      <t>A  gyermekétkeztetésnél nyújtott 50% vagy 100%-os térítési díj kedvezmény.</t>
    </r>
  </si>
  <si>
    <r>
      <t xml:space="preserve">5 </t>
    </r>
    <r>
      <rPr>
        <sz val="8"/>
        <rFont val="Times New Roman"/>
        <family val="1"/>
        <charset val="238"/>
      </rPr>
      <t>A gépjáműadóról szóló 1991. évi LXXXII. törvény alapján.</t>
    </r>
  </si>
  <si>
    <t>11/A - A helyi önkormányzatok kiegészítő támogatásainak és egyéb kötött felhasználású támogatásainak elszámolása</t>
  </si>
  <si>
    <t>29</t>
  </si>
  <si>
    <t>Bruttó érték összesen (=01+08-14)</t>
  </si>
  <si>
    <t>Összes növekedés  (=02+…+07)</t>
  </si>
  <si>
    <t>Koncesszióba, vagyonkezelésbe adott eszközök</t>
  </si>
  <si>
    <t>Tenyészállatok</t>
  </si>
  <si>
    <t>Gépek, berendezések, felszerelések, járművek</t>
  </si>
  <si>
    <t>CSENGŐDI POLGÁRMESTERI HIVATAL</t>
  </si>
  <si>
    <t>FAMÍLIA SZOCIÁLIS ALAPSZOLGÁLTATÁSI KÖZPONT</t>
  </si>
  <si>
    <t>CSENGŐDI NAPKÖZI OTTHONOS ÓVODA</t>
  </si>
  <si>
    <t>Önkormányzat kiadásai mindösszesen</t>
  </si>
  <si>
    <t>2018. évi országgyűlési választás</t>
  </si>
  <si>
    <t>3</t>
  </si>
  <si>
    <t>4</t>
  </si>
  <si>
    <r>
      <t xml:space="preserve">AZ ÖNKORMÁNYZAT FINANSZÍROZÁSI KIADÁSAI ÖSSZESEN </t>
    </r>
    <r>
      <rPr>
        <sz val="8"/>
        <color rgb="FFFF0000"/>
        <rFont val="Times New Roman CE"/>
        <family val="1"/>
        <charset val="238"/>
      </rPr>
      <t>( 17-18. sorok )</t>
    </r>
  </si>
  <si>
    <t>Maradványkimutatás 2018.</t>
  </si>
  <si>
    <t>Hiány, selejtezés, megsemmisülés</t>
  </si>
  <si>
    <t>2017. évi</t>
  </si>
  <si>
    <t>2018. évi</t>
  </si>
  <si>
    <t>Igazgatási és vagyongazdálkodási tevékenység</t>
  </si>
  <si>
    <t>-Tárgyi eszközök beszezése</t>
  </si>
  <si>
    <t>Informatikai eszköz beszerzése</t>
  </si>
  <si>
    <t>Klímaberendezés</t>
  </si>
  <si>
    <t>B1. Működési célú támogatások államháztartáson belülről (B11.+…+B16.)</t>
  </si>
  <si>
    <t>Egyéb működési célú bevételek</t>
  </si>
  <si>
    <t>2018. évi tény adat</t>
  </si>
  <si>
    <t>Nyitó pénzkészlet (2018.01.01.)</t>
  </si>
  <si>
    <t>Záró pénzkészlet (2018. 12. 31.)</t>
  </si>
  <si>
    <t>Mezei őrszolgálat</t>
  </si>
  <si>
    <t>Bethlen Gábor Alapból támogatás</t>
  </si>
  <si>
    <t>Fejlesztési támogatás</t>
  </si>
  <si>
    <t>B814</t>
  </si>
  <si>
    <t>2018. évi eredeti előirányzat</t>
  </si>
  <si>
    <t>2018. évi módosított előirányzat</t>
  </si>
  <si>
    <t>2019. évi teljesített átcsoportosítás</t>
  </si>
  <si>
    <t>2018.</t>
  </si>
  <si>
    <t>E/I/4 Más előzetesen felszámított le nem vonható általános forgalmi adó</t>
  </si>
  <si>
    <t>H/II/6 Költségvetési évet követően esedékes kötelezettségek beruházásra</t>
  </si>
  <si>
    <t>H/III/8. Letétre, megőrzésre, dófedezetkezelésre átvett pénzeszközök, biztosítékok</t>
  </si>
  <si>
    <t>J/1. Eredményszemléletű bevételek passzív időbeli elhatárolása</t>
  </si>
  <si>
    <t>MVH terület alapú támogatás</t>
  </si>
  <si>
    <t>TOP-1.4.1-16-2017-00007.</t>
  </si>
  <si>
    <t>TOP-3.2.2-15-BK1-2016-00003</t>
  </si>
  <si>
    <t>TOP-5.3.1-16-BK1-2017-00004</t>
  </si>
  <si>
    <t>B52-B54</t>
  </si>
  <si>
    <t>B409</t>
  </si>
  <si>
    <t>Egyéb pénzügyi műveletek bevételei</t>
  </si>
  <si>
    <t>Biztosító által fizetett kártérítés</t>
  </si>
  <si>
    <t>Tárgyi eszköz beszerzése községgazdálkodáshoz (parabola tükör, kompresszor, járműkövető egység)</t>
  </si>
  <si>
    <t>Fogorvosi, háziorvosi alapellátás</t>
  </si>
  <si>
    <t>Csengőd 68. hrsz-ú ingatlan vásárlása</t>
  </si>
  <si>
    <t>Csengőd 053/9. hrsz-ú ingataln vásárlása</t>
  </si>
  <si>
    <t>Varroda utca vásárlása</t>
  </si>
  <si>
    <t>Közművelődés</t>
  </si>
  <si>
    <t>TOP-1.4.1.-16. Mini bölcsőde létrehozása</t>
  </si>
  <si>
    <t>Építési beruházás</t>
  </si>
  <si>
    <t>Eszköz beszerzés</t>
  </si>
  <si>
    <t>TOP 3.2.2-15 Biomassza fűtésrendszer kialakítása</t>
  </si>
  <si>
    <t>VP6-7.2.1-7.4.1.3-17 -piac önrész</t>
  </si>
  <si>
    <t>Óvodabővítés</t>
  </si>
  <si>
    <t>Óvodai kapacitásbővítést célzó beruházás (épületbővítés, eszközbeszerzés)</t>
  </si>
  <si>
    <t>Óvodai, egyéb szociális és gyermekvédelmi feladatok</t>
  </si>
  <si>
    <t>Ebből: Ebrendészeti hozzájárulás</t>
  </si>
  <si>
    <t>ebből: Hangfal</t>
  </si>
  <si>
    <t>Mikrofon</t>
  </si>
  <si>
    <t>Keverőpult</t>
  </si>
  <si>
    <t>Vasaló és alkatrész</t>
  </si>
  <si>
    <t>Evőeszközök, tálak, tányérok, poharak,</t>
  </si>
  <si>
    <t>Köztemető</t>
  </si>
  <si>
    <t>ebből:Urnafal beszerzése</t>
  </si>
  <si>
    <t>Vagyongazdálkodás</t>
  </si>
  <si>
    <t>TOP-1.4.1-16-2017-00007</t>
  </si>
  <si>
    <t>Mezei őrszolgálat-fegyverszekrény beszerzése</t>
  </si>
  <si>
    <t>Nem veszélyes hulladék szállítása</t>
  </si>
  <si>
    <t>VP6-7.2.1-7.4.1.3-17-piac</t>
  </si>
  <si>
    <t>VP6-7.2.1-7.4.1.2-16 pályázat Telefonos út stabilizációja</t>
  </si>
  <si>
    <t>9.7</t>
  </si>
  <si>
    <t>VP6-19.2.1-91-3.-17-térfigyelőkamera rendszer kiépítése</t>
  </si>
  <si>
    <t>Tartalék, cétartalék</t>
  </si>
  <si>
    <t>9.8</t>
  </si>
  <si>
    <t>TOP-5.3.1-16-2017-BK1-00037</t>
  </si>
  <si>
    <t>Tárgyi eszköz (állvány, termosztát, padlóventilátor, frissítő gömb szórófej))</t>
  </si>
  <si>
    <t xml:space="preserve"> VP6-7.2.1-7.4.1.2-16 pályázat-Telefonos út</t>
  </si>
  <si>
    <t>VP6-19.2.1.-91-3.-17 -Térfigyelőkamera rendszer</t>
  </si>
  <si>
    <t>József Attila utca (Csengőd 576.) felújítása</t>
  </si>
  <si>
    <t>Óvadakapacitás bővítés</t>
  </si>
  <si>
    <t>11.1</t>
  </si>
  <si>
    <t>Ebből: informatikai eszközök</t>
  </si>
  <si>
    <t xml:space="preserve">             kazán</t>
  </si>
  <si>
    <t>Tárgyi eszköz beszerzése (szőnyeg)</t>
  </si>
  <si>
    <t>Ebből: Informatikai eszközök</t>
  </si>
  <si>
    <t xml:space="preserve">             Tárgyi eszköz beszerzése</t>
  </si>
  <si>
    <t xml:space="preserve">           egyéb kisértékű tárgyú eszközök</t>
  </si>
  <si>
    <t>Óvodai feladatellátáshoz tárgyi eszköz beszerzése (porszívó)</t>
  </si>
  <si>
    <t xml:space="preserve">Csengőd Község Önkormányzata </t>
  </si>
  <si>
    <t>Igazgatás</t>
  </si>
  <si>
    <t>Értékesítés</t>
  </si>
  <si>
    <r>
      <t>ellátottak térítési díjának, kártérítésének méltányossági alapon történő elengedése</t>
    </r>
    <r>
      <rPr>
        <b/>
        <vertAlign val="superscript"/>
        <sz val="11"/>
        <rFont val="Times New Roman"/>
        <family val="1"/>
        <charset val="238"/>
      </rPr>
      <t>1</t>
    </r>
  </si>
  <si>
    <t>Iparűzési adó: adóalap mentesség2</t>
  </si>
  <si>
    <t>Gépjárműadó3</t>
  </si>
  <si>
    <r>
      <t>2</t>
    </r>
    <r>
      <rPr>
        <sz val="8"/>
        <rFont val="Times New Roman"/>
        <family val="1"/>
        <charset val="238"/>
      </rPr>
      <t xml:space="preserve"> Magánszemélyek kommunális adójáról és helyi iparűzési adóról szóló 8/2015. (XI.30.) önk.rendelet 8/A§-a alapján.</t>
    </r>
  </si>
  <si>
    <r>
      <t xml:space="preserve">3 </t>
    </r>
    <r>
      <rPr>
        <sz val="8"/>
        <rFont val="Times New Roman"/>
        <family val="1"/>
        <charset val="238"/>
      </rPr>
      <t>Magánszemélyek kommunális adójáról szóló  23/2015. (XI.26.) önkormányzati rendelet 2.§-a alapján.</t>
    </r>
  </si>
  <si>
    <r>
      <t xml:space="preserve">4 </t>
    </r>
    <r>
      <rPr>
        <sz val="8"/>
        <rFont val="Times New Roman"/>
        <family val="1"/>
        <charset val="238"/>
      </rPr>
      <t xml:space="preserve">a helyi közművelődési feladatokról szóló 3/2018. (II.28.) önk. Rendelet </t>
    </r>
  </si>
  <si>
    <t>Művelődési ház 4</t>
  </si>
  <si>
    <t>Mindösszesen (A+B+C+D):</t>
  </si>
  <si>
    <t>I.1. A települési  önkormányzatok működésének támogatása 09 01 01 01 00</t>
  </si>
  <si>
    <t>I.2. Nem közművel összegyűjtött háztartási szennyvíz ártalmatlanítása 09 01 01 02 00</t>
  </si>
  <si>
    <t>I.3. Határátkelőhelyek fenntartásának támogatása 09 01 01 03 00</t>
  </si>
  <si>
    <t>II. A települési önkormányzatok egyes köznevelési feladatainak támogatása 09 01 02 00 00</t>
  </si>
  <si>
    <t>III.3. Egyes szociális és gyermekjóléti feladatok támogatása 09 01 03 03 00</t>
  </si>
  <si>
    <t>III.5. Intézményi gyermekétkeztetés támogatása 09 01 03 05 00</t>
  </si>
  <si>
    <t>III.6. Rászoruló gyermekek szünidei étkeztetése 09 01 03 06 00</t>
  </si>
  <si>
    <t>Összesen  (=1+…+10)</t>
  </si>
  <si>
    <t>2. melléklet I.5. A 2017. évről áthúzódó bérkompenzáció támogatása</t>
  </si>
  <si>
    <t>2. melléklet I.6. Polgármesteri illetmény támogatása</t>
  </si>
  <si>
    <t>2. melléklet III.1. Szociális ágazati  összevont pótlék</t>
  </si>
  <si>
    <t>2. melléklet III.2. A települési önkormányzatok szociális feladatainak egyéb támogatása</t>
  </si>
  <si>
    <t>2. melléklet IV.1.d) Települési önkormányzatok nyilvános könyvtári és közművelődési feladatainak támogatása</t>
  </si>
  <si>
    <t>2. melléklet IV.1. Könyvtári, közművelődési és múzeumi feladatok támogatása (5+…+13)</t>
  </si>
  <si>
    <t>2. melléklet IV.3. Kulturális illetménypótlék</t>
  </si>
  <si>
    <t>28</t>
  </si>
  <si>
    <t>3. melléklet I.9. A települési önkormányzatok szociális célú tüzelőanyag vásárlásához kapcsolódó támogatása</t>
  </si>
  <si>
    <t>3. melléklet I.10.a) Önkormányzatok rendkívüli támogatása</t>
  </si>
  <si>
    <t>36</t>
  </si>
  <si>
    <t>3. melléklet I. Helyi önkormányzatok működési célú költségvetési támogatásai összesen (20+….+ 35)</t>
  </si>
  <si>
    <t>3. melléklet II.2.c) Belterületi utak, járdák, hidak felújítása</t>
  </si>
  <si>
    <t>52</t>
  </si>
  <si>
    <t>3. melléklet II. Helyi önkormányzatok felhalmozási célú költségvetési támogatásai összesen (37+…+51)</t>
  </si>
  <si>
    <t>75</t>
  </si>
  <si>
    <t>29. cím Az önkormányzati ASP rendszer működtetésének támogatása</t>
  </si>
  <si>
    <t>92</t>
  </si>
  <si>
    <t>47. cím A költségvetési szerveknél foglalkoztatottak 2018. évi bérkompenzációja</t>
  </si>
  <si>
    <t>106</t>
  </si>
  <si>
    <t>64. cím A települési önkormányzatok 2017. évi szociális célú tüzelőanyag vásárlásához kapcsolódó kiegészítő támogatása</t>
  </si>
  <si>
    <t>123</t>
  </si>
  <si>
    <t>81. cím A téli rezsicsökkentésben korábban nem részesült, a vezetékes gáz- vagy távfűtéstől eltérő fűtőanyagot használó háztartások egyszeri támogatása</t>
  </si>
  <si>
    <t>125</t>
  </si>
  <si>
    <t>Mindösszesen (=1+2+3+4+14+18+19+36+52+…+124)</t>
  </si>
  <si>
    <t>Szöveges indoklás: A fogorvosi ellátást biztosítóval kötött megállapodás alapján</t>
  </si>
  <si>
    <t>Mini bölcsőde építése Csengődön</t>
  </si>
  <si>
    <t>'TOP-5.3.1-16-2017-BK1-00037</t>
  </si>
  <si>
    <t>Helyi identitás erősítése</t>
  </si>
  <si>
    <t>VP6-7.2.1-7.4.1.3-17</t>
  </si>
  <si>
    <t>Helyi termelői piac kialakítása</t>
  </si>
  <si>
    <t>'VP6-19.2.1-91-3.-17</t>
  </si>
  <si>
    <t>térfigyelőkamera rendszer kiépítése</t>
  </si>
  <si>
    <t>Tárgyi eszköz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</si>
</sst>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164" formatCode="_-* #,##0\ _F_t_-;\-* #,##0\ _F_t_-;_-* &quot;-&quot;\ _F_t_-;_-@_-"/>
    <numFmt numFmtId="165" formatCode="00"/>
    <numFmt numFmtId="166" formatCode="_-* #,##0.0\ _F_t_-;\-* #,##0.0\ _F_t_-;_-* &quot;-&quot;?\ _F_t_-;_-@_-"/>
    <numFmt numFmtId="167" formatCode="_-* #,##0.0000\ _H_U_F_-;\-* #,##0.0000\ _H_U_F_-;_-* &quot;-&quot;????\ _H_U_F_-;_-@_-"/>
    <numFmt numFmtId="168" formatCode="0.000"/>
  </numFmts>
  <fonts count="1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7"/>
      <name val="Tahoma"/>
      <family val="2"/>
      <charset val="238"/>
    </font>
    <font>
      <sz val="7"/>
      <name val="Tahoma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9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color indexed="8"/>
      <name val="Times New Roman CE"/>
      <family val="1"/>
      <charset val="238"/>
    </font>
    <font>
      <i/>
      <sz val="10"/>
      <name val="Arial CE"/>
      <charset val="238"/>
    </font>
    <font>
      <b/>
      <i/>
      <sz val="8"/>
      <name val="Times New Roman CE"/>
      <charset val="238"/>
    </font>
    <font>
      <sz val="10"/>
      <name val="Times New Roman CE"/>
      <charset val="238"/>
    </font>
    <font>
      <sz val="10"/>
      <color indexed="10"/>
      <name val="Times New Roman"/>
      <family val="1"/>
      <charset val="238"/>
    </font>
    <font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8"/>
      <name val="Arial CE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8"/>
      <color rgb="FFFFFF00"/>
      <name val="Times New Roman CE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 CE"/>
      <family val="1"/>
      <charset val="238"/>
    </font>
    <font>
      <i/>
      <sz val="8"/>
      <name val="Times New Roman"/>
      <family val="1"/>
      <charset val="238"/>
    </font>
    <font>
      <b/>
      <i/>
      <sz val="10"/>
      <color rgb="FFFF0000"/>
      <name val="Times New Roman CE"/>
      <charset val="238"/>
    </font>
    <font>
      <b/>
      <sz val="8"/>
      <name val="Times New Roman CE"/>
      <charset val="238"/>
    </font>
    <font>
      <b/>
      <i/>
      <sz val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color rgb="FFFF0000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Tahoma"/>
      <family val="2"/>
    </font>
    <font>
      <sz val="11"/>
      <name val="Times New Roman"/>
      <family val="1"/>
      <charset val="238"/>
    </font>
    <font>
      <b/>
      <sz val="9"/>
      <name val="Arial CE"/>
      <charset val="238"/>
    </font>
    <font>
      <sz val="9"/>
      <color indexed="10"/>
      <name val="Times New Roman CE"/>
      <family val="1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b/>
      <u/>
      <sz val="9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rgb="FF000000"/>
      <name val="Calibri"/>
      <family val="2"/>
      <charset val="1"/>
      <scheme val="minor"/>
    </font>
    <font>
      <sz val="10"/>
      <color rgb="FF000000"/>
      <name val="Calibri"/>
      <family val="1"/>
      <charset val="1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8"/>
      <name val="Tahoma"/>
      <family val="2"/>
    </font>
    <font>
      <sz val="10"/>
      <color indexed="10"/>
      <name val="Arial CE"/>
      <charset val="238"/>
    </font>
    <font>
      <b/>
      <sz val="7"/>
      <name val="Arial"/>
      <family val="2"/>
      <charset val="238"/>
    </font>
    <font>
      <sz val="8"/>
      <color rgb="FFFF0000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i/>
      <sz val="8"/>
      <color rgb="FFFF0000"/>
      <name val="Times New Roman CE"/>
      <family val="1"/>
      <charset val="238"/>
    </font>
    <font>
      <i/>
      <sz val="8"/>
      <color rgb="FFFF0000"/>
      <name val="Times New Roman CE"/>
      <charset val="238"/>
    </font>
    <font>
      <sz val="10"/>
      <color rgb="FFFF0000"/>
      <name val="Arial CE"/>
      <charset val="238"/>
    </font>
    <font>
      <sz val="10"/>
      <name val="MS Sans Serif"/>
      <charset val="238"/>
    </font>
    <font>
      <i/>
      <sz val="8"/>
      <color theme="1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color theme="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ahoma"/>
      <family val="2"/>
    </font>
    <font>
      <b/>
      <sz val="12"/>
      <name val="Tahoma"/>
      <family val="2"/>
    </font>
    <font>
      <b/>
      <vertAlign val="superscript"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i/>
      <sz val="9"/>
      <name val="Times New Roman CE"/>
      <charset val="238"/>
    </font>
    <font>
      <b/>
      <sz val="8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15">
    <xf numFmtId="0" fontId="0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9" fillId="0" borderId="0"/>
    <xf numFmtId="0" fontId="67" fillId="0" borderId="0"/>
    <xf numFmtId="0" fontId="2" fillId="0" borderId="0"/>
    <xf numFmtId="0" fontId="67" fillId="0" borderId="0"/>
    <xf numFmtId="0" fontId="65" fillId="0" borderId="0"/>
    <xf numFmtId="0" fontId="100" fillId="0" borderId="0"/>
    <xf numFmtId="0" fontId="1" fillId="0" borderId="0"/>
  </cellStyleXfs>
  <cellXfs count="2076">
    <xf numFmtId="0" fontId="0" fillId="0" borderId="0" xfId="0"/>
    <xf numFmtId="0" fontId="3" fillId="0" borderId="0" xfId="0" applyFont="1" applyFill="1" applyAlignment="1">
      <alignment vertical="center" shrinkToFit="1"/>
    </xf>
    <xf numFmtId="0" fontId="5" fillId="0" borderId="0" xfId="0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Font="1" applyFill="1" applyAlignment="1">
      <alignment vertical="center" shrinkToFit="1"/>
    </xf>
    <xf numFmtId="3" fontId="9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5" fillId="0" borderId="0" xfId="0" applyFont="1" applyFill="1" applyAlignment="1">
      <alignment vertical="center" shrinkToFit="1"/>
    </xf>
    <xf numFmtId="49" fontId="15" fillId="0" borderId="0" xfId="0" applyNumberFormat="1" applyFont="1" applyFill="1" applyAlignment="1">
      <alignment vertical="center" shrinkToFit="1"/>
    </xf>
    <xf numFmtId="0" fontId="16" fillId="0" borderId="0" xfId="0" applyFont="1" applyFill="1" applyBorder="1" applyAlignment="1">
      <alignment horizontal="justify" vertical="center" shrinkToFit="1"/>
    </xf>
    <xf numFmtId="0" fontId="17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0" fontId="21" fillId="0" borderId="0" xfId="0" applyFont="1"/>
    <xf numFmtId="3" fontId="12" fillId="0" borderId="0" xfId="2" applyNumberFormat="1" applyFont="1" applyFill="1" applyAlignment="1">
      <alignment vertical="center"/>
    </xf>
    <xf numFmtId="3" fontId="13" fillId="0" borderId="0" xfId="2" applyNumberFormat="1" applyFont="1" applyFill="1" applyBorder="1" applyAlignment="1">
      <alignment horizontal="center" vertical="center"/>
    </xf>
    <xf numFmtId="3" fontId="14" fillId="0" borderId="0" xfId="2" applyNumberFormat="1" applyFont="1" applyFill="1" applyAlignment="1">
      <alignment vertical="center"/>
    </xf>
    <xf numFmtId="0" fontId="18" fillId="0" borderId="0" xfId="0" applyFont="1"/>
    <xf numFmtId="3" fontId="0" fillId="0" borderId="0" xfId="0" applyNumberFormat="1"/>
    <xf numFmtId="3" fontId="29" fillId="0" borderId="0" xfId="2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30" fillId="0" borderId="0" xfId="2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 shrinkToFit="1"/>
    </xf>
    <xf numFmtId="0" fontId="33" fillId="0" borderId="0" xfId="0" applyFont="1"/>
    <xf numFmtId="3" fontId="34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shrinkToFit="1"/>
    </xf>
    <xf numFmtId="0" fontId="1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3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horizontal="center" shrinkToFit="1"/>
    </xf>
    <xf numFmtId="2" fontId="24" fillId="0" borderId="0" xfId="0" applyNumberFormat="1" applyFont="1" applyFill="1" applyAlignment="1">
      <alignment shrinkToFit="1"/>
    </xf>
    <xf numFmtId="0" fontId="37" fillId="0" borderId="0" xfId="0" applyFont="1" applyFill="1" applyAlignment="1">
      <alignment horizontal="justify" shrinkToFit="1"/>
    </xf>
    <xf numFmtId="0" fontId="37" fillId="0" borderId="0" xfId="0" applyFont="1" applyFill="1" applyAlignment="1">
      <alignment horizontal="right" shrinkToFit="1"/>
    </xf>
    <xf numFmtId="0" fontId="24" fillId="0" borderId="17" xfId="0" applyFont="1" applyFill="1" applyBorder="1" applyAlignment="1">
      <alignment horizontal="center" shrinkToFit="1"/>
    </xf>
    <xf numFmtId="2" fontId="24" fillId="0" borderId="7" xfId="0" applyNumberFormat="1" applyFont="1" applyFill="1" applyBorder="1" applyAlignment="1">
      <alignment shrinkToFit="1"/>
    </xf>
    <xf numFmtId="0" fontId="24" fillId="0" borderId="10" xfId="0" applyFont="1" applyFill="1" applyBorder="1" applyAlignment="1">
      <alignment horizontal="justify" shrinkToFit="1"/>
    </xf>
    <xf numFmtId="0" fontId="24" fillId="0" borderId="34" xfId="0" applyFont="1" applyFill="1" applyBorder="1" applyAlignment="1">
      <alignment horizontal="center" shrinkToFit="1"/>
    </xf>
    <xf numFmtId="0" fontId="25" fillId="0" borderId="9" xfId="0" applyFont="1" applyFill="1" applyBorder="1" applyAlignment="1">
      <alignment horizontal="center" shrinkToFit="1"/>
    </xf>
    <xf numFmtId="0" fontId="24" fillId="0" borderId="4" xfId="0" applyFont="1" applyFill="1" applyBorder="1" applyAlignment="1">
      <alignment horizontal="center" shrinkToFit="1"/>
    </xf>
    <xf numFmtId="2" fontId="24" fillId="0" borderId="35" xfId="0" applyNumberFormat="1" applyFont="1" applyFill="1" applyBorder="1" applyAlignment="1">
      <alignment shrinkToFit="1"/>
    </xf>
    <xf numFmtId="0" fontId="36" fillId="0" borderId="5" xfId="0" applyFont="1" applyFill="1" applyBorder="1" applyAlignment="1">
      <alignment horizontal="justify" shrinkToFit="1"/>
    </xf>
    <xf numFmtId="0" fontId="36" fillId="0" borderId="36" xfId="0" applyFont="1" applyFill="1" applyBorder="1" applyAlignment="1">
      <alignment horizontal="center" shrinkToFit="1"/>
    </xf>
    <xf numFmtId="0" fontId="24" fillId="0" borderId="1" xfId="0" applyFont="1" applyFill="1" applyBorder="1" applyAlignment="1">
      <alignment horizontal="center" shrinkToFit="1"/>
    </xf>
    <xf numFmtId="2" fontId="25" fillId="0" borderId="2" xfId="0" applyNumberFormat="1" applyFont="1" applyFill="1" applyBorder="1" applyAlignment="1">
      <alignment horizontal="center" vertical="center" shrinkToFit="1"/>
    </xf>
    <xf numFmtId="2" fontId="25" fillId="0" borderId="11" xfId="0" applyNumberFormat="1" applyFont="1" applyFill="1" applyBorder="1" applyAlignment="1">
      <alignment shrinkToFit="1"/>
    </xf>
    <xf numFmtId="3" fontId="37" fillId="0" borderId="0" xfId="0" applyNumberFormat="1" applyFont="1" applyFill="1" applyAlignment="1">
      <alignment horizontal="justify" shrinkToFit="1"/>
    </xf>
    <xf numFmtId="0" fontId="38" fillId="0" borderId="0" xfId="0" applyFont="1" applyFill="1" applyAlignment="1">
      <alignment horizontal="justify" shrinkToFit="1"/>
    </xf>
    <xf numFmtId="0" fontId="38" fillId="0" borderId="0" xfId="0" applyFont="1" applyFill="1" applyAlignment="1">
      <alignment horizontal="center" shrinkToFit="1"/>
    </xf>
    <xf numFmtId="3" fontId="25" fillId="2" borderId="37" xfId="0" applyNumberFormat="1" applyFont="1" applyFill="1" applyBorder="1" applyAlignment="1">
      <alignment horizontal="right" shrinkToFit="1"/>
    </xf>
    <xf numFmtId="3" fontId="37" fillId="0" borderId="0" xfId="0" applyNumberFormat="1" applyFont="1" applyFill="1" applyAlignment="1">
      <alignment horizontal="right" shrinkToFit="1"/>
    </xf>
    <xf numFmtId="0" fontId="4" fillId="0" borderId="0" xfId="0" applyFont="1" applyFill="1" applyAlignment="1">
      <alignment vertical="center" wrapText="1" shrinkToFit="1"/>
    </xf>
    <xf numFmtId="3" fontId="38" fillId="0" borderId="0" xfId="0" applyNumberFormat="1" applyFont="1" applyFill="1" applyAlignment="1">
      <alignment horizontal="justify" shrinkToFit="1"/>
    </xf>
    <xf numFmtId="3" fontId="7" fillId="0" borderId="0" xfId="0" applyNumberFormat="1" applyFont="1" applyFill="1" applyAlignment="1">
      <alignment shrinkToFit="1"/>
    </xf>
    <xf numFmtId="3" fontId="5" fillId="0" borderId="0" xfId="0" applyNumberFormat="1" applyFont="1" applyFill="1" applyAlignment="1">
      <alignment shrinkToFit="1"/>
    </xf>
    <xf numFmtId="3" fontId="12" fillId="0" borderId="0" xfId="0" applyNumberFormat="1" applyFont="1" applyFill="1" applyAlignment="1">
      <alignment horizontal="right" vertical="center" shrinkToFit="1"/>
    </xf>
    <xf numFmtId="0" fontId="12" fillId="0" borderId="0" xfId="0" applyFont="1" applyFill="1" applyAlignment="1">
      <alignment vertical="center" shrinkToFit="1"/>
    </xf>
    <xf numFmtId="3" fontId="35" fillId="0" borderId="0" xfId="2" applyNumberFormat="1" applyFont="1" applyFill="1" applyAlignment="1">
      <alignment horizontal="center" vertical="center"/>
    </xf>
    <xf numFmtId="3" fontId="21" fillId="0" borderId="0" xfId="0" applyNumberFormat="1" applyFont="1"/>
    <xf numFmtId="3" fontId="12" fillId="0" borderId="0" xfId="2" applyNumberFormat="1" applyFont="1" applyFill="1" applyBorder="1" applyAlignment="1">
      <alignment vertical="center"/>
    </xf>
    <xf numFmtId="3" fontId="9" fillId="3" borderId="0" xfId="0" applyNumberFormat="1" applyFont="1" applyFill="1" applyAlignment="1">
      <alignment vertical="center"/>
    </xf>
    <xf numFmtId="3" fontId="11" fillId="3" borderId="0" xfId="0" applyNumberFormat="1" applyFont="1" applyFill="1" applyAlignment="1">
      <alignment vertical="center"/>
    </xf>
    <xf numFmtId="3" fontId="28" fillId="3" borderId="0" xfId="0" applyNumberFormat="1" applyFont="1" applyFill="1" applyAlignment="1">
      <alignment vertical="center"/>
    </xf>
    <xf numFmtId="3" fontId="10" fillId="3" borderId="0" xfId="0" applyNumberFormat="1" applyFont="1" applyFill="1" applyAlignment="1">
      <alignment vertical="center"/>
    </xf>
    <xf numFmtId="3" fontId="42" fillId="3" borderId="0" xfId="0" applyNumberFormat="1" applyFont="1" applyFill="1" applyAlignment="1">
      <alignment vertical="center"/>
    </xf>
    <xf numFmtId="3" fontId="34" fillId="3" borderId="0" xfId="0" applyNumberFormat="1" applyFont="1" applyFill="1" applyAlignment="1">
      <alignment vertical="center"/>
    </xf>
    <xf numFmtId="3" fontId="41" fillId="3" borderId="0" xfId="2" applyNumberFormat="1" applyFont="1" applyFill="1" applyAlignment="1">
      <alignment horizontal="center" vertical="center"/>
    </xf>
    <xf numFmtId="3" fontId="40" fillId="3" borderId="0" xfId="2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vertical="center"/>
    </xf>
    <xf numFmtId="3" fontId="24" fillId="4" borderId="0" xfId="0" applyNumberFormat="1" applyFont="1" applyFill="1" applyBorder="1" applyAlignment="1">
      <alignment horizontal="right" vertical="center"/>
    </xf>
    <xf numFmtId="3" fontId="25" fillId="4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3" fontId="25" fillId="0" borderId="37" xfId="0" applyNumberFormat="1" applyFont="1" applyFill="1" applyBorder="1" applyAlignment="1">
      <alignment horizontal="right" shrinkToFit="1"/>
    </xf>
    <xf numFmtId="3" fontId="25" fillId="0" borderId="3" xfId="0" applyNumberFormat="1" applyFont="1" applyFill="1" applyBorder="1" applyAlignment="1">
      <alignment horizontal="right" shrinkToFit="1"/>
    </xf>
    <xf numFmtId="3" fontId="25" fillId="0" borderId="11" xfId="0" applyNumberFormat="1" applyFont="1" applyFill="1" applyBorder="1" applyAlignment="1">
      <alignment horizontal="right" shrinkToFit="1"/>
    </xf>
    <xf numFmtId="0" fontId="15" fillId="0" borderId="18" xfId="0" applyFont="1" applyFill="1" applyBorder="1" applyAlignment="1">
      <alignment vertical="center" shrinkToFit="1"/>
    </xf>
    <xf numFmtId="3" fontId="12" fillId="3" borderId="0" xfId="2" applyNumberFormat="1" applyFont="1" applyFill="1" applyAlignment="1">
      <alignment vertical="center"/>
    </xf>
    <xf numFmtId="0" fontId="0" fillId="0" borderId="0" xfId="0"/>
    <xf numFmtId="3" fontId="34" fillId="3" borderId="0" xfId="0" applyNumberFormat="1" applyFont="1" applyFill="1" applyBorder="1" applyAlignment="1">
      <alignment vertical="center"/>
    </xf>
    <xf numFmtId="0" fontId="0" fillId="0" borderId="0" xfId="0"/>
    <xf numFmtId="3" fontId="33" fillId="0" borderId="0" xfId="0" applyNumberFormat="1" applyFont="1"/>
    <xf numFmtId="0" fontId="33" fillId="0" borderId="0" xfId="0" applyFont="1" applyAlignment="1">
      <alignment wrapText="1"/>
    </xf>
    <xf numFmtId="3" fontId="12" fillId="0" borderId="15" xfId="2" applyNumberFormat="1" applyFont="1" applyFill="1" applyBorder="1" applyAlignment="1">
      <alignment vertical="center"/>
    </xf>
    <xf numFmtId="3" fontId="12" fillId="3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24" fillId="3" borderId="0" xfId="0" applyNumberFormat="1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horizontal="left" vertical="center"/>
    </xf>
    <xf numFmtId="3" fontId="12" fillId="3" borderId="18" xfId="0" applyNumberFormat="1" applyFont="1" applyFill="1" applyBorder="1" applyAlignment="1">
      <alignment horizontal="center" vertical="center"/>
    </xf>
    <xf numFmtId="3" fontId="24" fillId="3" borderId="18" xfId="0" applyNumberFormat="1" applyFont="1" applyFill="1" applyBorder="1" applyAlignment="1">
      <alignment vertical="center"/>
    </xf>
    <xf numFmtId="3" fontId="24" fillId="3" borderId="18" xfId="0" applyNumberFormat="1" applyFont="1" applyFill="1" applyBorder="1" applyAlignment="1">
      <alignment horizontal="left" vertical="center"/>
    </xf>
    <xf numFmtId="3" fontId="24" fillId="3" borderId="18" xfId="0" applyNumberFormat="1" applyFont="1" applyFill="1" applyBorder="1" applyAlignment="1">
      <alignment horizontal="right" vertical="center"/>
    </xf>
    <xf numFmtId="3" fontId="12" fillId="3" borderId="17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vertical="center"/>
    </xf>
    <xf numFmtId="3" fontId="14" fillId="3" borderId="4" xfId="0" applyNumberFormat="1" applyFont="1" applyFill="1" applyBorder="1" applyAlignment="1">
      <alignment vertical="center"/>
    </xf>
    <xf numFmtId="3" fontId="14" fillId="3" borderId="18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horizontal="left" vertical="center"/>
    </xf>
    <xf numFmtId="3" fontId="47" fillId="3" borderId="0" xfId="0" applyNumberFormat="1" applyFont="1" applyFill="1" applyBorder="1" applyAlignment="1">
      <alignment vertical="center"/>
    </xf>
    <xf numFmtId="3" fontId="25" fillId="0" borderId="15" xfId="0" applyNumberFormat="1" applyFont="1" applyBorder="1" applyAlignment="1">
      <alignment horizontal="center" vertical="center" wrapText="1"/>
    </xf>
    <xf numFmtId="3" fontId="25" fillId="0" borderId="15" xfId="0" quotePrefix="1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 indent="1"/>
    </xf>
    <xf numFmtId="3" fontId="12" fillId="0" borderId="15" xfId="0" applyNumberFormat="1" applyFont="1" applyBorder="1" applyAlignment="1">
      <alignment vertical="center" wrapText="1"/>
    </xf>
    <xf numFmtId="3" fontId="0" fillId="3" borderId="0" xfId="0" applyNumberFormat="1" applyFill="1"/>
    <xf numFmtId="3" fontId="25" fillId="3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shrinkToFit="1"/>
    </xf>
    <xf numFmtId="3" fontId="25" fillId="10" borderId="15" xfId="0" applyNumberFormat="1" applyFont="1" applyFill="1" applyBorder="1" applyAlignment="1">
      <alignment horizontal="right" vertical="center"/>
    </xf>
    <xf numFmtId="3" fontId="25" fillId="10" borderId="62" xfId="0" applyNumberFormat="1" applyFont="1" applyFill="1" applyBorder="1" applyAlignment="1">
      <alignment horizontal="right" vertical="center"/>
    </xf>
    <xf numFmtId="3" fontId="25" fillId="10" borderId="81" xfId="0" applyNumberFormat="1" applyFont="1" applyFill="1" applyBorder="1" applyAlignment="1">
      <alignment horizontal="right" vertical="center"/>
    </xf>
    <xf numFmtId="3" fontId="28" fillId="3" borderId="9" xfId="2" applyNumberFormat="1" applyFont="1" applyFill="1" applyBorder="1" applyAlignment="1">
      <alignment horizontal="left" vertical="center" indent="2"/>
    </xf>
    <xf numFmtId="3" fontId="46" fillId="3" borderId="8" xfId="2" applyNumberFormat="1" applyFont="1" applyFill="1" applyBorder="1" applyAlignment="1">
      <alignment horizontal="left" vertical="center" indent="2"/>
    </xf>
    <xf numFmtId="3" fontId="28" fillId="3" borderId="8" xfId="2" applyNumberFormat="1" applyFont="1" applyFill="1" applyBorder="1" applyAlignment="1">
      <alignment horizontal="left" vertical="center" indent="2"/>
    </xf>
    <xf numFmtId="3" fontId="46" fillId="3" borderId="11" xfId="2" applyNumberFormat="1" applyFont="1" applyFill="1" applyBorder="1" applyAlignment="1">
      <alignment horizontal="left" vertical="center" indent="2"/>
    </xf>
    <xf numFmtId="3" fontId="28" fillId="3" borderId="11" xfId="2" applyNumberFormat="1" applyFont="1" applyFill="1" applyBorder="1" applyAlignment="1">
      <alignment horizontal="left" vertical="center" indent="2"/>
    </xf>
    <xf numFmtId="3" fontId="24" fillId="3" borderId="9" xfId="0" applyNumberFormat="1" applyFont="1" applyFill="1" applyBorder="1" applyAlignment="1">
      <alignment horizontal="left" vertical="center"/>
    </xf>
    <xf numFmtId="3" fontId="46" fillId="3" borderId="9" xfId="2" applyNumberFormat="1" applyFont="1" applyFill="1" applyBorder="1" applyAlignment="1">
      <alignment horizontal="left" vertical="center" indent="2"/>
    </xf>
    <xf numFmtId="3" fontId="25" fillId="10" borderId="72" xfId="0" applyNumberFormat="1" applyFont="1" applyFill="1" applyBorder="1" applyAlignment="1">
      <alignment horizontal="right" vertical="center"/>
    </xf>
    <xf numFmtId="3" fontId="24" fillId="10" borderId="53" xfId="0" applyNumberFormat="1" applyFont="1" applyFill="1" applyBorder="1" applyAlignment="1">
      <alignment horizontal="right" vertical="center"/>
    </xf>
    <xf numFmtId="3" fontId="46" fillId="3" borderId="27" xfId="2" applyNumberFormat="1" applyFont="1" applyFill="1" applyBorder="1" applyAlignment="1">
      <alignment horizontal="left" vertical="center" indent="2"/>
    </xf>
    <xf numFmtId="3" fontId="30" fillId="10" borderId="58" xfId="0" applyNumberFormat="1" applyFont="1" applyFill="1" applyBorder="1" applyAlignment="1">
      <alignment horizontal="center" vertical="center"/>
    </xf>
    <xf numFmtId="3" fontId="30" fillId="10" borderId="74" xfId="0" applyNumberFormat="1" applyFont="1" applyFill="1" applyBorder="1" applyAlignment="1">
      <alignment horizontal="center" vertical="center"/>
    </xf>
    <xf numFmtId="3" fontId="29" fillId="10" borderId="74" xfId="0" applyNumberFormat="1" applyFont="1" applyFill="1" applyBorder="1" applyAlignment="1">
      <alignment horizontal="center" vertical="center"/>
    </xf>
    <xf numFmtId="3" fontId="43" fillId="10" borderId="74" xfId="0" applyNumberFormat="1" applyFont="1" applyFill="1" applyBorder="1" applyAlignment="1">
      <alignment vertical="center"/>
    </xf>
    <xf numFmtId="3" fontId="43" fillId="10" borderId="74" xfId="0" applyNumberFormat="1" applyFont="1" applyFill="1" applyBorder="1" applyAlignment="1">
      <alignment horizontal="left" vertical="center"/>
    </xf>
    <xf numFmtId="3" fontId="43" fillId="10" borderId="15" xfId="0" applyNumberFormat="1" applyFont="1" applyFill="1" applyBorder="1" applyAlignment="1">
      <alignment vertical="center"/>
    </xf>
    <xf numFmtId="3" fontId="43" fillId="10" borderId="62" xfId="0" applyNumberFormat="1" applyFont="1" applyFill="1" applyBorder="1" applyAlignment="1">
      <alignment vertical="center"/>
    </xf>
    <xf numFmtId="3" fontId="24" fillId="10" borderId="15" xfId="0" applyNumberFormat="1" applyFont="1" applyFill="1" applyBorder="1" applyAlignment="1">
      <alignment horizontal="right" vertical="center"/>
    </xf>
    <xf numFmtId="3" fontId="28" fillId="10" borderId="15" xfId="2" applyNumberFormat="1" applyFont="1" applyFill="1" applyBorder="1" applyAlignment="1">
      <alignment horizontal="left" vertical="center" indent="2"/>
    </xf>
    <xf numFmtId="3" fontId="18" fillId="0" borderId="0" xfId="0" applyNumberFormat="1" applyFont="1"/>
    <xf numFmtId="3" fontId="53" fillId="0" borderId="0" xfId="2" applyNumberFormat="1" applyFont="1" applyFill="1" applyAlignment="1">
      <alignment vertical="center"/>
    </xf>
    <xf numFmtId="3" fontId="52" fillId="0" borderId="0" xfId="2" applyNumberFormat="1" applyFont="1" applyFill="1" applyAlignment="1">
      <alignment vertical="center"/>
    </xf>
    <xf numFmtId="0" fontId="54" fillId="0" borderId="0" xfId="0" applyFont="1" applyFill="1" applyBorder="1" applyAlignment="1">
      <alignment horizontal="justify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49" fontId="12" fillId="0" borderId="0" xfId="0" applyNumberFormat="1" applyFont="1" applyFill="1" applyAlignment="1">
      <alignment vertical="center" shrinkToFit="1"/>
    </xf>
    <xf numFmtId="3" fontId="50" fillId="7" borderId="88" xfId="2" applyNumberFormat="1" applyFont="1" applyFill="1" applyBorder="1" applyAlignment="1">
      <alignment horizontal="center" vertical="center"/>
    </xf>
    <xf numFmtId="3" fontId="46" fillId="7" borderId="82" xfId="2" quotePrefix="1" applyNumberFormat="1" applyFont="1" applyFill="1" applyBorder="1" applyAlignment="1">
      <alignment horizontal="center" vertical="center"/>
    </xf>
    <xf numFmtId="4" fontId="20" fillId="7" borderId="82" xfId="2" applyNumberFormat="1" applyFont="1" applyFill="1" applyBorder="1" applyAlignment="1">
      <alignment horizontal="right" vertical="center"/>
    </xf>
    <xf numFmtId="3" fontId="50" fillId="3" borderId="4" xfId="2" applyNumberFormat="1" applyFont="1" applyFill="1" applyBorder="1" applyAlignment="1">
      <alignment horizontal="center" vertical="center"/>
    </xf>
    <xf numFmtId="3" fontId="50" fillId="3" borderId="18" xfId="2" applyNumberFormat="1" applyFont="1" applyFill="1" applyBorder="1" applyAlignment="1">
      <alignment horizontal="center" vertical="center"/>
    </xf>
    <xf numFmtId="3" fontId="46" fillId="3" borderId="15" xfId="2" quotePrefix="1" applyNumberFormat="1" applyFont="1" applyFill="1" applyBorder="1" applyAlignment="1">
      <alignment horizontal="center" vertical="center"/>
    </xf>
    <xf numFmtId="3" fontId="50" fillId="3" borderId="40" xfId="2" applyNumberFormat="1" applyFont="1" applyFill="1" applyBorder="1" applyAlignment="1">
      <alignment horizontal="center" vertical="center"/>
    </xf>
    <xf numFmtId="3" fontId="50" fillId="3" borderId="16" xfId="2" applyNumberFormat="1" applyFont="1" applyFill="1" applyBorder="1" applyAlignment="1">
      <alignment horizontal="center" vertical="center"/>
    </xf>
    <xf numFmtId="3" fontId="50" fillId="7" borderId="1" xfId="2" applyNumberFormat="1" applyFont="1" applyFill="1" applyBorder="1" applyAlignment="1">
      <alignment horizontal="center" vertical="center"/>
    </xf>
    <xf numFmtId="3" fontId="50" fillId="7" borderId="6" xfId="2" applyNumberFormat="1" applyFont="1" applyFill="1" applyBorder="1" applyAlignment="1">
      <alignment horizontal="center" vertical="center"/>
    </xf>
    <xf numFmtId="3" fontId="46" fillId="3" borderId="15" xfId="2" applyNumberFormat="1" applyFont="1" applyFill="1" applyBorder="1" applyAlignment="1">
      <alignment horizontal="left" vertical="center" indent="2"/>
    </xf>
    <xf numFmtId="3" fontId="20" fillId="7" borderId="69" xfId="2" applyNumberFormat="1" applyFont="1" applyFill="1" applyBorder="1" applyAlignment="1">
      <alignment horizontal="right" vertical="center"/>
    </xf>
    <xf numFmtId="3" fontId="46" fillId="3" borderId="13" xfId="2" quotePrefix="1" applyNumberFormat="1" applyFont="1" applyFill="1" applyBorder="1" applyAlignment="1">
      <alignment horizontal="center" vertical="center"/>
    </xf>
    <xf numFmtId="3" fontId="46" fillId="7" borderId="5" xfId="2" applyNumberFormat="1" applyFont="1" applyFill="1" applyBorder="1" applyAlignment="1">
      <alignment vertical="center"/>
    </xf>
    <xf numFmtId="3" fontId="46" fillId="7" borderId="5" xfId="2" applyNumberFormat="1" applyFont="1" applyFill="1" applyBorder="1" applyAlignment="1">
      <alignment horizontal="right" vertical="center"/>
    </xf>
    <xf numFmtId="3" fontId="46" fillId="7" borderId="82" xfId="2" applyNumberFormat="1" applyFont="1" applyFill="1" applyBorder="1" applyAlignment="1">
      <alignment horizontal="right" vertical="center"/>
    </xf>
    <xf numFmtId="3" fontId="46" fillId="7" borderId="51" xfId="2" applyNumberFormat="1" applyFont="1" applyFill="1" applyBorder="1" applyAlignment="1">
      <alignment horizontal="right" vertical="center"/>
    </xf>
    <xf numFmtId="3" fontId="46" fillId="7" borderId="18" xfId="2" applyNumberFormat="1" applyFont="1" applyFill="1" applyBorder="1" applyAlignment="1">
      <alignment horizontal="right" vertical="center"/>
    </xf>
    <xf numFmtId="3" fontId="49" fillId="7" borderId="82" xfId="2" applyNumberFormat="1" applyFont="1" applyFill="1" applyBorder="1" applyAlignment="1">
      <alignment vertical="center"/>
    </xf>
    <xf numFmtId="4" fontId="49" fillId="7" borderId="36" xfId="2" applyNumberFormat="1" applyFont="1" applyFill="1" applyBorder="1" applyAlignment="1">
      <alignment horizontal="right" vertical="center"/>
    </xf>
    <xf numFmtId="3" fontId="46" fillId="7" borderId="83" xfId="2" applyNumberFormat="1" applyFont="1" applyFill="1" applyBorder="1" applyAlignment="1">
      <alignment horizontal="right" vertical="center"/>
    </xf>
    <xf numFmtId="3" fontId="46" fillId="7" borderId="36" xfId="2" applyNumberFormat="1" applyFont="1" applyFill="1" applyBorder="1" applyAlignment="1">
      <alignment horizontal="right" vertical="center"/>
    </xf>
    <xf numFmtId="3" fontId="49" fillId="7" borderId="83" xfId="2" applyNumberFormat="1" applyFont="1" applyFill="1" applyBorder="1" applyAlignment="1">
      <alignment vertical="center"/>
    </xf>
    <xf numFmtId="3" fontId="46" fillId="7" borderId="51" xfId="2" quotePrefix="1" applyNumberFormat="1" applyFont="1" applyFill="1" applyBorder="1" applyAlignment="1">
      <alignment horizontal="center" vertical="center"/>
    </xf>
    <xf numFmtId="3" fontId="20" fillId="7" borderId="51" xfId="2" applyNumberFormat="1" applyFont="1" applyFill="1" applyBorder="1" applyAlignment="1">
      <alignment horizontal="right" vertical="center"/>
    </xf>
    <xf numFmtId="3" fontId="20" fillId="7" borderId="88" xfId="2" applyNumberFormat="1" applyFont="1" applyFill="1" applyBorder="1" applyAlignment="1">
      <alignment horizontal="right" vertical="center"/>
    </xf>
    <xf numFmtId="3" fontId="20" fillId="7" borderId="39" xfId="2" applyNumberFormat="1" applyFont="1" applyFill="1" applyBorder="1" applyAlignment="1">
      <alignment horizontal="right" vertical="center"/>
    </xf>
    <xf numFmtId="3" fontId="20" fillId="7" borderId="83" xfId="2" applyNumberFormat="1" applyFont="1" applyFill="1" applyBorder="1" applyAlignment="1">
      <alignment horizontal="right" vertical="center"/>
    </xf>
    <xf numFmtId="3" fontId="20" fillId="7" borderId="45" xfId="2" applyNumberFormat="1" applyFont="1" applyFill="1" applyBorder="1" applyAlignment="1">
      <alignment horizontal="right" vertical="center"/>
    </xf>
    <xf numFmtId="3" fontId="20" fillId="7" borderId="47" xfId="2" applyNumberFormat="1" applyFont="1" applyFill="1" applyBorder="1" applyAlignment="1">
      <alignment horizontal="right" vertical="center"/>
    </xf>
    <xf numFmtId="3" fontId="46" fillId="7" borderId="35" xfId="2" applyNumberFormat="1" applyFont="1" applyFill="1" applyBorder="1" applyAlignment="1">
      <alignment vertical="center"/>
    </xf>
    <xf numFmtId="3" fontId="20" fillId="7" borderId="82" xfId="2" applyNumberFormat="1" applyFont="1" applyFill="1" applyBorder="1" applyAlignment="1">
      <alignment horizontal="left" vertical="center" indent="1"/>
    </xf>
    <xf numFmtId="3" fontId="46" fillId="7" borderId="47" xfId="2" applyNumberFormat="1" applyFont="1" applyFill="1" applyBorder="1" applyAlignment="1">
      <alignment vertical="center"/>
    </xf>
    <xf numFmtId="3" fontId="46" fillId="7" borderId="21" xfId="2" applyNumberFormat="1" applyFont="1" applyFill="1" applyBorder="1" applyAlignment="1">
      <alignment vertical="center"/>
    </xf>
    <xf numFmtId="3" fontId="46" fillId="7" borderId="82" xfId="2" applyNumberFormat="1" applyFont="1" applyFill="1" applyBorder="1" applyAlignment="1">
      <alignment vertical="center"/>
    </xf>
    <xf numFmtId="3" fontId="46" fillId="7" borderId="83" xfId="2" applyNumberFormat="1" applyFont="1" applyFill="1" applyBorder="1" applyAlignment="1">
      <alignment vertical="center"/>
    </xf>
    <xf numFmtId="3" fontId="46" fillId="7" borderId="18" xfId="2" applyNumberFormat="1" applyFont="1" applyFill="1" applyBorder="1" applyAlignment="1">
      <alignment vertical="center"/>
    </xf>
    <xf numFmtId="3" fontId="20" fillId="7" borderId="68" xfId="2" applyNumberFormat="1" applyFont="1" applyFill="1" applyBorder="1" applyAlignment="1">
      <alignment horizontal="right" vertical="center"/>
    </xf>
    <xf numFmtId="3" fontId="20" fillId="7" borderId="36" xfId="2" applyNumberFormat="1" applyFont="1" applyFill="1" applyBorder="1" applyAlignment="1">
      <alignment horizontal="right" vertical="center"/>
    </xf>
    <xf numFmtId="3" fontId="46" fillId="3" borderId="16" xfId="2" quotePrefix="1" applyNumberFormat="1" applyFont="1" applyFill="1" applyBorder="1" applyAlignment="1">
      <alignment horizontal="center" vertical="center"/>
    </xf>
    <xf numFmtId="3" fontId="46" fillId="3" borderId="0" xfId="2" quotePrefix="1" applyNumberFormat="1" applyFont="1" applyFill="1" applyBorder="1" applyAlignment="1">
      <alignment horizontal="center" vertical="center"/>
    </xf>
    <xf numFmtId="1" fontId="10" fillId="7" borderId="0" xfId="2" applyNumberFormat="1" applyFont="1" applyFill="1" applyBorder="1" applyAlignment="1">
      <alignment horizontal="right" vertical="center"/>
    </xf>
    <xf numFmtId="1" fontId="11" fillId="7" borderId="0" xfId="2" applyNumberFormat="1" applyFont="1" applyFill="1" applyBorder="1" applyAlignment="1">
      <alignment horizontal="right" vertical="center"/>
    </xf>
    <xf numFmtId="49" fontId="14" fillId="3" borderId="0" xfId="2" applyNumberFormat="1" applyFont="1" applyFill="1" applyAlignment="1">
      <alignment vertical="center"/>
    </xf>
    <xf numFmtId="49" fontId="14" fillId="0" borderId="0" xfId="2" applyNumberFormat="1" applyFont="1" applyFill="1" applyAlignment="1">
      <alignment vertical="center"/>
    </xf>
    <xf numFmtId="3" fontId="29" fillId="3" borderId="0" xfId="2" applyNumberFormat="1" applyFont="1" applyFill="1" applyAlignment="1">
      <alignment vertical="center"/>
    </xf>
    <xf numFmtId="2" fontId="20" fillId="3" borderId="53" xfId="2" applyNumberFormat="1" applyFont="1" applyFill="1" applyBorder="1" applyAlignment="1">
      <alignment horizontal="right" vertical="center"/>
    </xf>
    <xf numFmtId="164" fontId="15" fillId="0" borderId="0" xfId="0" applyNumberFormat="1" applyFont="1" applyFill="1" applyAlignment="1">
      <alignment vertical="center" shrinkToFit="1"/>
    </xf>
    <xf numFmtId="164" fontId="12" fillId="0" borderId="0" xfId="0" applyNumberFormat="1" applyFont="1" applyFill="1" applyAlignment="1">
      <alignment vertical="center" shrinkToFit="1"/>
    </xf>
    <xf numFmtId="3" fontId="24" fillId="3" borderId="8" xfId="0" applyNumberFormat="1" applyFont="1" applyFill="1" applyBorder="1" applyAlignment="1">
      <alignment horizontal="left" vertical="center"/>
    </xf>
    <xf numFmtId="3" fontId="24" fillId="3" borderId="23" xfId="0" applyNumberFormat="1" applyFont="1" applyFill="1" applyBorder="1" applyAlignment="1">
      <alignment horizontal="left" vertical="center"/>
    </xf>
    <xf numFmtId="3" fontId="24" fillId="3" borderId="11" xfId="0" applyNumberFormat="1" applyFont="1" applyFill="1" applyBorder="1" applyAlignment="1">
      <alignment horizontal="left" vertical="center"/>
    </xf>
    <xf numFmtId="3" fontId="2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12" borderId="15" xfId="2" quotePrefix="1" applyNumberFormat="1" applyFont="1" applyFill="1" applyBorder="1" applyAlignment="1">
      <alignment horizontal="center" vertical="center"/>
    </xf>
    <xf numFmtId="3" fontId="49" fillId="12" borderId="15" xfId="2" applyNumberFormat="1" applyFont="1" applyFill="1" applyBorder="1" applyAlignment="1">
      <alignment horizontal="left" vertical="center" indent="2"/>
    </xf>
    <xf numFmtId="3" fontId="46" fillId="10" borderId="15" xfId="2" quotePrefix="1" applyNumberFormat="1" applyFont="1" applyFill="1" applyBorder="1" applyAlignment="1">
      <alignment horizontal="center" vertical="center"/>
    </xf>
    <xf numFmtId="0" fontId="24" fillId="3" borderId="0" xfId="0" applyNumberFormat="1" applyFont="1" applyFill="1" applyAlignment="1">
      <alignment horizontal="center" vertical="center" wrapText="1"/>
    </xf>
    <xf numFmtId="0" fontId="24" fillId="3" borderId="0" xfId="0" applyFont="1" applyFill="1" applyAlignment="1">
      <alignment vertical="center" wrapText="1"/>
    </xf>
    <xf numFmtId="3" fontId="24" fillId="3" borderId="0" xfId="0" applyNumberFormat="1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right" vertical="center"/>
    </xf>
    <xf numFmtId="0" fontId="25" fillId="3" borderId="46" xfId="0" applyFont="1" applyFill="1" applyBorder="1" applyAlignment="1">
      <alignment horizontal="center" vertical="center" wrapText="1"/>
    </xf>
    <xf numFmtId="3" fontId="25" fillId="3" borderId="46" xfId="0" applyNumberFormat="1" applyFont="1" applyFill="1" applyBorder="1" applyAlignment="1">
      <alignment horizontal="center" vertical="center" wrapText="1"/>
    </xf>
    <xf numFmtId="3" fontId="25" fillId="3" borderId="90" xfId="0" applyNumberFormat="1" applyFont="1" applyFill="1" applyBorder="1" applyAlignment="1">
      <alignment horizontal="center" vertical="center" wrapText="1"/>
    </xf>
    <xf numFmtId="0" fontId="25" fillId="3" borderId="47" xfId="0" applyFont="1" applyFill="1" applyBorder="1" applyAlignment="1">
      <alignment horizontal="center" vertical="center"/>
    </xf>
    <xf numFmtId="0" fontId="59" fillId="3" borderId="15" xfId="0" applyFont="1" applyFill="1" applyBorder="1" applyAlignment="1">
      <alignment vertical="center" wrapText="1"/>
    </xf>
    <xf numFmtId="3" fontId="59" fillId="3" borderId="15" xfId="0" applyNumberFormat="1" applyFont="1" applyFill="1" applyBorder="1" applyAlignment="1">
      <alignment vertical="center"/>
    </xf>
    <xf numFmtId="0" fontId="59" fillId="3" borderId="15" xfId="0" applyFont="1" applyFill="1" applyBorder="1" applyAlignment="1">
      <alignment horizontal="center" vertical="center"/>
    </xf>
    <xf numFmtId="0" fontId="24" fillId="3" borderId="50" xfId="0" applyFont="1" applyFill="1" applyBorder="1" applyAlignment="1">
      <alignment horizontal="center" vertical="center"/>
    </xf>
    <xf numFmtId="0" fontId="24" fillId="3" borderId="54" xfId="0" applyFont="1" applyFill="1" applyBorder="1" applyAlignment="1">
      <alignment horizontal="center" vertical="center" wrapText="1"/>
    </xf>
    <xf numFmtId="0" fontId="25" fillId="3" borderId="51" xfId="0" applyFont="1" applyFill="1" applyBorder="1" applyAlignment="1">
      <alignment horizontal="left" vertical="center" wrapText="1"/>
    </xf>
    <xf numFmtId="3" fontId="25" fillId="3" borderId="82" xfId="0" applyNumberFormat="1" applyFont="1" applyFill="1" applyBorder="1" applyAlignment="1">
      <alignment horizontal="right" vertical="center" wrapText="1"/>
    </xf>
    <xf numFmtId="3" fontId="25" fillId="3" borderId="51" xfId="0" applyNumberFormat="1" applyFont="1" applyFill="1" applyBorder="1" applyAlignment="1">
      <alignment horizontal="right" vertical="center" wrapText="1"/>
    </xf>
    <xf numFmtId="0" fontId="24" fillId="3" borderId="51" xfId="0" applyFont="1" applyFill="1" applyBorder="1" applyAlignment="1">
      <alignment horizontal="center" vertical="center"/>
    </xf>
    <xf numFmtId="0" fontId="24" fillId="3" borderId="0" xfId="0" applyFont="1" applyFill="1"/>
    <xf numFmtId="0" fontId="24" fillId="3" borderId="0" xfId="0" applyFont="1" applyFill="1" applyAlignment="1">
      <alignment horizontal="center"/>
    </xf>
    <xf numFmtId="2" fontId="25" fillId="0" borderId="70" xfId="0" applyNumberFormat="1" applyFont="1" applyFill="1" applyBorder="1" applyAlignment="1">
      <alignment horizontal="center" shrinkToFit="1"/>
    </xf>
    <xf numFmtId="0" fontId="45" fillId="3" borderId="0" xfId="0" applyFont="1" applyFill="1" applyAlignment="1">
      <alignment horizontal="center"/>
    </xf>
    <xf numFmtId="0" fontId="18" fillId="3" borderId="0" xfId="0" applyFont="1" applyFill="1"/>
    <xf numFmtId="0" fontId="62" fillId="3" borderId="0" xfId="0" applyFont="1" applyFill="1"/>
    <xf numFmtId="0" fontId="54" fillId="3" borderId="0" xfId="0" applyFont="1" applyFill="1"/>
    <xf numFmtId="0" fontId="63" fillId="3" borderId="0" xfId="0" applyFont="1" applyFill="1"/>
    <xf numFmtId="0" fontId="64" fillId="3" borderId="12" xfId="0" applyFont="1" applyFill="1" applyBorder="1" applyAlignment="1">
      <alignment horizontal="center" vertical="center"/>
    </xf>
    <xf numFmtId="0" fontId="64" fillId="3" borderId="13" xfId="0" applyFont="1" applyFill="1" applyBorder="1" applyAlignment="1">
      <alignment horizontal="center" vertical="center"/>
    </xf>
    <xf numFmtId="0" fontId="24" fillId="3" borderId="15" xfId="6" applyFont="1" applyFill="1" applyBorder="1" applyAlignment="1">
      <alignment horizontal="center" vertical="center"/>
    </xf>
    <xf numFmtId="0" fontId="24" fillId="3" borderId="15" xfId="6" applyFont="1" applyFill="1" applyBorder="1" applyAlignment="1">
      <alignment horizontal="center" vertical="center" wrapText="1"/>
    </xf>
    <xf numFmtId="0" fontId="45" fillId="3" borderId="60" xfId="0" applyFont="1" applyFill="1" applyBorder="1" applyAlignment="1">
      <alignment horizontal="center"/>
    </xf>
    <xf numFmtId="3" fontId="64" fillId="3" borderId="59" xfId="0" applyNumberFormat="1" applyFont="1" applyFill="1" applyBorder="1"/>
    <xf numFmtId="3" fontId="54" fillId="3" borderId="81" xfId="0" applyNumberFormat="1" applyFont="1" applyFill="1" applyBorder="1"/>
    <xf numFmtId="3" fontId="44" fillId="3" borderId="14" xfId="0" applyNumberFormat="1" applyFont="1" applyFill="1" applyBorder="1" applyAlignment="1">
      <alignment vertical="center"/>
    </xf>
    <xf numFmtId="3" fontId="54" fillId="3" borderId="14" xfId="0" applyNumberFormat="1" applyFont="1" applyFill="1" applyBorder="1" applyAlignment="1">
      <alignment vertical="center"/>
    </xf>
    <xf numFmtId="3" fontId="54" fillId="3" borderId="94" xfId="0" applyNumberFormat="1" applyFont="1" applyFill="1" applyBorder="1" applyAlignment="1">
      <alignment vertical="center"/>
    </xf>
    <xf numFmtId="0" fontId="45" fillId="3" borderId="63" xfId="0" applyFont="1" applyFill="1" applyBorder="1" applyAlignment="1">
      <alignment horizontal="center"/>
    </xf>
    <xf numFmtId="3" fontId="54" fillId="3" borderId="92" xfId="0" applyNumberFormat="1" applyFont="1" applyFill="1" applyBorder="1"/>
    <xf numFmtId="0" fontId="44" fillId="3" borderId="82" xfId="0" applyFont="1" applyFill="1" applyBorder="1" applyAlignment="1">
      <alignment horizontal="center" vertical="center"/>
    </xf>
    <xf numFmtId="3" fontId="44" fillId="3" borderId="82" xfId="0" applyNumberFormat="1" applyFont="1" applyFill="1" applyBorder="1" applyAlignment="1">
      <alignment vertical="center"/>
    </xf>
    <xf numFmtId="3" fontId="54" fillId="3" borderId="82" xfId="0" applyNumberFormat="1" applyFont="1" applyFill="1" applyBorder="1" applyAlignment="1">
      <alignment vertical="center"/>
    </xf>
    <xf numFmtId="3" fontId="64" fillId="14" borderId="59" xfId="0" applyNumberFormat="1" applyFont="1" applyFill="1" applyBorder="1"/>
    <xf numFmtId="0" fontId="64" fillId="3" borderId="59" xfId="0" applyFont="1" applyFill="1" applyBorder="1" applyAlignment="1">
      <alignment wrapText="1"/>
    </xf>
    <xf numFmtId="3" fontId="46" fillId="3" borderId="82" xfId="2" quotePrefix="1" applyNumberFormat="1" applyFont="1" applyFill="1" applyBorder="1" applyAlignment="1">
      <alignment horizontal="center" vertical="center"/>
    </xf>
    <xf numFmtId="0" fontId="59" fillId="3" borderId="0" xfId="0" applyNumberFormat="1" applyFont="1" applyFill="1" applyAlignment="1">
      <alignment horizontal="center" vertical="center" wrapText="1"/>
    </xf>
    <xf numFmtId="0" fontId="59" fillId="0" borderId="0" xfId="0" applyFont="1"/>
    <xf numFmtId="0" fontId="59" fillId="3" borderId="0" xfId="0" applyFont="1" applyFill="1" applyAlignment="1">
      <alignment vertical="center" wrapText="1"/>
    </xf>
    <xf numFmtId="3" fontId="59" fillId="3" borderId="0" xfId="0" applyNumberFormat="1" applyFont="1" applyFill="1" applyAlignment="1">
      <alignment vertical="center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right" vertical="center"/>
    </xf>
    <xf numFmtId="0" fontId="67" fillId="3" borderId="95" xfId="6" applyFont="1" applyFill="1" applyBorder="1" applyAlignment="1">
      <alignment vertical="center" wrapText="1"/>
    </xf>
    <xf numFmtId="0" fontId="68" fillId="3" borderId="67" xfId="6" applyFont="1" applyFill="1" applyBorder="1" applyAlignment="1">
      <alignment horizontal="center" vertical="center" wrapText="1"/>
    </xf>
    <xf numFmtId="0" fontId="68" fillId="3" borderId="77" xfId="6" applyFont="1" applyFill="1" applyBorder="1" applyAlignment="1">
      <alignment horizontal="center" vertical="center" wrapText="1"/>
    </xf>
    <xf numFmtId="0" fontId="68" fillId="3" borderId="12" xfId="6" applyFont="1" applyFill="1" applyBorder="1" applyAlignment="1">
      <alignment horizontal="center" vertical="center" wrapText="1"/>
    </xf>
    <xf numFmtId="0" fontId="67" fillId="3" borderId="87" xfId="6" applyFont="1" applyFill="1" applyBorder="1"/>
    <xf numFmtId="0" fontId="67" fillId="3" borderId="73" xfId="6" applyFont="1" applyFill="1" applyBorder="1"/>
    <xf numFmtId="0" fontId="67" fillId="3" borderId="15" xfId="6" applyFont="1" applyFill="1" applyBorder="1"/>
    <xf numFmtId="0" fontId="67" fillId="3" borderId="62" xfId="6" applyFont="1" applyFill="1" applyBorder="1"/>
    <xf numFmtId="3" fontId="67" fillId="3" borderId="15" xfId="6" applyNumberFormat="1" applyFont="1" applyFill="1" applyBorder="1"/>
    <xf numFmtId="0" fontId="68" fillId="3" borderId="46" xfId="6" applyFont="1" applyFill="1" applyBorder="1" applyAlignment="1">
      <alignment vertical="center"/>
    </xf>
    <xf numFmtId="0" fontId="68" fillId="3" borderId="69" xfId="6" applyFont="1" applyFill="1" applyBorder="1" applyAlignment="1">
      <alignment horizontal="center" vertical="center"/>
    </xf>
    <xf numFmtId="0" fontId="68" fillId="3" borderId="46" xfId="6" applyFont="1" applyFill="1" applyBorder="1" applyAlignment="1">
      <alignment horizontal="center" vertical="center"/>
    </xf>
    <xf numFmtId="3" fontId="68" fillId="3" borderId="46" xfId="6" applyNumberFormat="1" applyFont="1" applyFill="1" applyBorder="1" applyAlignment="1">
      <alignment vertical="center"/>
    </xf>
    <xf numFmtId="0" fontId="59" fillId="3" borderId="0" xfId="0" applyFont="1" applyFill="1"/>
    <xf numFmtId="0" fontId="59" fillId="3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0" fillId="3" borderId="0" xfId="0" applyFill="1"/>
    <xf numFmtId="3" fontId="67" fillId="3" borderId="0" xfId="7" applyNumberFormat="1" applyFont="1" applyFill="1" applyAlignment="1"/>
    <xf numFmtId="3" fontId="67" fillId="3" borderId="0" xfId="7" applyNumberFormat="1" applyFont="1" applyFill="1" applyAlignment="1">
      <alignment horizontal="right"/>
    </xf>
    <xf numFmtId="0" fontId="67" fillId="3" borderId="0" xfId="7" applyFont="1" applyFill="1" applyAlignment="1"/>
    <xf numFmtId="0" fontId="0" fillId="0" borderId="0" xfId="0" applyAlignment="1">
      <alignment wrapText="1"/>
    </xf>
    <xf numFmtId="3" fontId="27" fillId="0" borderId="15" xfId="9" applyNumberFormat="1" applyFont="1" applyFill="1" applyBorder="1" applyAlignment="1">
      <alignment horizontal="right" vertical="center" wrapText="1"/>
    </xf>
    <xf numFmtId="3" fontId="26" fillId="0" borderId="15" xfId="9" applyNumberFormat="1" applyFont="1" applyFill="1" applyBorder="1" applyAlignment="1">
      <alignment horizontal="right" vertical="center" wrapText="1"/>
    </xf>
    <xf numFmtId="3" fontId="27" fillId="0" borderId="15" xfId="9" quotePrefix="1" applyNumberFormat="1" applyFont="1" applyFill="1" applyBorder="1" applyAlignment="1">
      <alignment horizontal="right" vertical="center" wrapText="1"/>
    </xf>
    <xf numFmtId="3" fontId="26" fillId="0" borderId="15" xfId="9" applyNumberFormat="1" applyFont="1" applyFill="1" applyBorder="1" applyAlignment="1">
      <alignment horizontal="right" vertical="center"/>
    </xf>
    <xf numFmtId="0" fontId="39" fillId="3" borderId="0" xfId="4" applyFont="1" applyFill="1" applyAlignment="1">
      <alignment horizontal="center"/>
    </xf>
    <xf numFmtId="0" fontId="75" fillId="3" borderId="0" xfId="4" applyFont="1" applyFill="1" applyAlignment="1">
      <alignment horizontal="right"/>
    </xf>
    <xf numFmtId="0" fontId="72" fillId="3" borderId="15" xfId="4" applyFont="1" applyFill="1" applyBorder="1" applyAlignment="1">
      <alignment horizontal="left"/>
    </xf>
    <xf numFmtId="0" fontId="72" fillId="3" borderId="15" xfId="4" applyFont="1" applyFill="1" applyBorder="1" applyAlignment="1"/>
    <xf numFmtId="3" fontId="72" fillId="3" borderId="15" xfId="4" applyNumberFormat="1" applyFont="1" applyFill="1" applyBorder="1" applyAlignment="1"/>
    <xf numFmtId="0" fontId="76" fillId="0" borderId="0" xfId="4" applyFont="1"/>
    <xf numFmtId="0" fontId="39" fillId="0" borderId="0" xfId="4" applyFont="1"/>
    <xf numFmtId="0" fontId="0" fillId="0" borderId="97" xfId="0" applyBorder="1"/>
    <xf numFmtId="0" fontId="0" fillId="0" borderId="96" xfId="0" applyBorder="1"/>
    <xf numFmtId="0" fontId="0" fillId="0" borderId="98" xfId="0" applyBorder="1"/>
    <xf numFmtId="0" fontId="0" fillId="0" borderId="99" xfId="0" applyBorder="1"/>
    <xf numFmtId="0" fontId="78" fillId="17" borderId="15" xfId="0" applyFont="1" applyFill="1" applyBorder="1" applyAlignment="1">
      <alignment horizontal="center" vertical="top" wrapText="1"/>
    </xf>
    <xf numFmtId="0" fontId="27" fillId="3" borderId="0" xfId="0" applyFont="1" applyFill="1" applyAlignment="1">
      <alignment vertical="center" shrinkToFit="1"/>
    </xf>
    <xf numFmtId="0" fontId="79" fillId="0" borderId="0" xfId="0" applyFont="1" applyAlignment="1">
      <alignment wrapText="1"/>
    </xf>
    <xf numFmtId="0" fontId="80" fillId="0" borderId="0" xfId="0" applyFont="1" applyAlignment="1">
      <alignment wrapText="1"/>
    </xf>
    <xf numFmtId="0" fontId="81" fillId="0" borderId="82" xfId="0" applyFont="1" applyFill="1" applyBorder="1" applyAlignment="1">
      <alignment wrapText="1"/>
    </xf>
    <xf numFmtId="164" fontId="24" fillId="0" borderId="46" xfId="0" applyNumberFormat="1" applyFont="1" applyBorder="1"/>
    <xf numFmtId="164" fontId="25" fillId="0" borderId="47" xfId="0" applyNumberFormat="1" applyFont="1" applyBorder="1"/>
    <xf numFmtId="0" fontId="0" fillId="0" borderId="0" xfId="0" applyBorder="1"/>
    <xf numFmtId="164" fontId="81" fillId="0" borderId="15" xfId="0" applyNumberFormat="1" applyFont="1" applyBorder="1" applyAlignment="1">
      <alignment wrapText="1"/>
    </xf>
    <xf numFmtId="164" fontId="24" fillId="0" borderId="15" xfId="0" applyNumberFormat="1" applyFont="1" applyBorder="1"/>
    <xf numFmtId="164" fontId="82" fillId="0" borderId="15" xfId="0" applyNumberFormat="1" applyFont="1" applyBorder="1" applyAlignment="1">
      <alignment wrapText="1"/>
    </xf>
    <xf numFmtId="0" fontId="82" fillId="0" borderId="13" xfId="0" applyFont="1" applyBorder="1" applyAlignment="1">
      <alignment wrapText="1"/>
    </xf>
    <xf numFmtId="0" fontId="24" fillId="0" borderId="13" xfId="0" applyFont="1" applyBorder="1"/>
    <xf numFmtId="3" fontId="24" fillId="0" borderId="55" xfId="0" applyNumberFormat="1" applyFont="1" applyBorder="1"/>
    <xf numFmtId="164" fontId="25" fillId="0" borderId="53" xfId="0" applyNumberFormat="1" applyFont="1" applyBorder="1"/>
    <xf numFmtId="164" fontId="82" fillId="0" borderId="16" xfId="0" applyNumberFormat="1" applyFont="1" applyBorder="1" applyAlignment="1">
      <alignment wrapText="1"/>
    </xf>
    <xf numFmtId="164" fontId="24" fillId="0" borderId="16" xfId="0" applyNumberFormat="1" applyFont="1" applyBorder="1"/>
    <xf numFmtId="164" fontId="25" fillId="0" borderId="54" xfId="0" applyNumberFormat="1" applyFont="1" applyBorder="1"/>
    <xf numFmtId="164" fontId="82" fillId="0" borderId="44" xfId="0" applyNumberFormat="1" applyFont="1" applyBorder="1" applyAlignment="1">
      <alignment wrapText="1"/>
    </xf>
    <xf numFmtId="0" fontId="81" fillId="0" borderId="68" xfId="0" applyFont="1" applyBorder="1" applyAlignment="1">
      <alignment wrapText="1"/>
    </xf>
    <xf numFmtId="0" fontId="81" fillId="0" borderId="68" xfId="0" applyFont="1" applyFill="1" applyBorder="1" applyAlignment="1">
      <alignment wrapText="1"/>
    </xf>
    <xf numFmtId="0" fontId="81" fillId="0" borderId="82" xfId="0" applyFont="1" applyBorder="1" applyAlignment="1">
      <alignment wrapText="1"/>
    </xf>
    <xf numFmtId="3" fontId="46" fillId="12" borderId="72" xfId="2" quotePrefix="1" applyNumberFormat="1" applyFont="1" applyFill="1" applyBorder="1" applyAlignment="1">
      <alignment horizontal="center" vertical="center"/>
    </xf>
    <xf numFmtId="3" fontId="46" fillId="12" borderId="15" xfId="2" quotePrefix="1" applyNumberFormat="1" applyFont="1" applyFill="1" applyBorder="1" applyAlignment="1">
      <alignment horizontal="center" vertical="center"/>
    </xf>
    <xf numFmtId="3" fontId="35" fillId="8" borderId="6" xfId="0" applyNumberFormat="1" applyFont="1" applyFill="1" applyBorder="1" applyAlignment="1">
      <alignment vertical="center" wrapText="1"/>
    </xf>
    <xf numFmtId="3" fontId="24" fillId="10" borderId="16" xfId="0" applyNumberFormat="1" applyFont="1" applyFill="1" applyBorder="1" applyAlignment="1">
      <alignment horizontal="right" vertical="center"/>
    </xf>
    <xf numFmtId="3" fontId="46" fillId="10" borderId="15" xfId="2" applyNumberFormat="1" applyFont="1" applyFill="1" applyBorder="1" applyAlignment="1">
      <alignment horizontal="left" vertical="center" indent="2"/>
    </xf>
    <xf numFmtId="3" fontId="43" fillId="12" borderId="15" xfId="0" applyNumberFormat="1" applyFont="1" applyFill="1" applyBorder="1" applyAlignment="1">
      <alignment vertical="center"/>
    </xf>
    <xf numFmtId="3" fontId="28" fillId="12" borderId="15" xfId="2" applyNumberFormat="1" applyFont="1" applyFill="1" applyBorder="1" applyAlignment="1">
      <alignment horizontal="left" vertical="center" indent="2"/>
    </xf>
    <xf numFmtId="3" fontId="11" fillId="12" borderId="0" xfId="0" applyNumberFormat="1" applyFont="1" applyFill="1" applyAlignment="1">
      <alignment vertical="center"/>
    </xf>
    <xf numFmtId="3" fontId="46" fillId="12" borderId="15" xfId="2" applyNumberFormat="1" applyFont="1" applyFill="1" applyBorder="1" applyAlignment="1">
      <alignment horizontal="left" vertical="center" indent="2"/>
    </xf>
    <xf numFmtId="3" fontId="11" fillId="12" borderId="15" xfId="2" applyNumberFormat="1" applyFont="1" applyFill="1" applyBorder="1" applyAlignment="1">
      <alignment horizontal="left" vertical="center" indent="2"/>
    </xf>
    <xf numFmtId="3" fontId="49" fillId="8" borderId="15" xfId="2" quotePrefix="1" applyNumberFormat="1" applyFont="1" applyFill="1" applyBorder="1" applyAlignment="1">
      <alignment horizontal="center" vertical="center"/>
    </xf>
    <xf numFmtId="3" fontId="49" fillId="3" borderId="15" xfId="2" quotePrefix="1" applyNumberFormat="1" applyFont="1" applyFill="1" applyBorder="1" applyAlignment="1">
      <alignment horizontal="center" vertical="center"/>
    </xf>
    <xf numFmtId="3" fontId="49" fillId="8" borderId="62" xfId="2" quotePrefix="1" applyNumberFormat="1" applyFont="1" applyFill="1" applyBorder="1" applyAlignment="1">
      <alignment horizontal="center" vertical="center"/>
    </xf>
    <xf numFmtId="3" fontId="28" fillId="8" borderId="24" xfId="2" applyNumberFormat="1" applyFont="1" applyFill="1" applyBorder="1" applyAlignment="1">
      <alignment horizontal="left" vertical="center" indent="2"/>
    </xf>
    <xf numFmtId="3" fontId="46" fillId="8" borderId="29" xfId="2" applyNumberFormat="1" applyFont="1" applyFill="1" applyBorder="1" applyAlignment="1">
      <alignment horizontal="left" vertical="center" indent="2"/>
    </xf>
    <xf numFmtId="3" fontId="35" fillId="8" borderId="15" xfId="0" applyNumberFormat="1" applyFont="1" applyFill="1" applyBorder="1" applyAlignment="1">
      <alignment vertical="center"/>
    </xf>
    <xf numFmtId="3" fontId="25" fillId="12" borderId="15" xfId="0" applyNumberFormat="1" applyFont="1" applyFill="1" applyBorder="1" applyAlignment="1">
      <alignment horizontal="right" vertical="center"/>
    </xf>
    <xf numFmtId="3" fontId="24" fillId="8" borderId="15" xfId="0" applyNumberFormat="1" applyFont="1" applyFill="1" applyBorder="1" applyAlignment="1">
      <alignment horizontal="right" vertical="center"/>
    </xf>
    <xf numFmtId="3" fontId="24" fillId="3" borderId="15" xfId="0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vertical="center" wrapText="1"/>
    </xf>
    <xf numFmtId="3" fontId="0" fillId="0" borderId="0" xfId="0" applyNumberFormat="1" applyBorder="1" applyAlignment="1">
      <alignment horizontal="center"/>
    </xf>
    <xf numFmtId="3" fontId="12" fillId="3" borderId="15" xfId="0" applyNumberFormat="1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3" fontId="28" fillId="0" borderId="15" xfId="0" applyNumberFormat="1" applyFont="1" applyFill="1" applyBorder="1" applyAlignment="1">
      <alignment vertical="center"/>
    </xf>
    <xf numFmtId="3" fontId="24" fillId="8" borderId="15" xfId="0" applyNumberFormat="1" applyFont="1" applyFill="1" applyBorder="1" applyAlignment="1">
      <alignment horizontal="left" vertical="center"/>
    </xf>
    <xf numFmtId="3" fontId="28" fillId="8" borderId="15" xfId="2" applyNumberFormat="1" applyFont="1" applyFill="1" applyBorder="1" applyAlignment="1">
      <alignment horizontal="left" vertical="center" indent="2"/>
    </xf>
    <xf numFmtId="3" fontId="46" fillId="8" borderId="15" xfId="2" applyNumberFormat="1" applyFont="1" applyFill="1" applyBorder="1" applyAlignment="1">
      <alignment horizontal="left" vertical="center" indent="2"/>
    </xf>
    <xf numFmtId="3" fontId="24" fillId="8" borderId="15" xfId="0" applyNumberFormat="1" applyFont="1" applyFill="1" applyBorder="1" applyAlignment="1">
      <alignment vertical="center"/>
    </xf>
    <xf numFmtId="3" fontId="24" fillId="3" borderId="15" xfId="0" applyNumberFormat="1" applyFont="1" applyFill="1" applyBorder="1" applyAlignment="1">
      <alignment horizontal="left" vertical="center"/>
    </xf>
    <xf numFmtId="3" fontId="49" fillId="3" borderId="16" xfId="2" quotePrefix="1" applyNumberFormat="1" applyFont="1" applyFill="1" applyBorder="1" applyAlignment="1">
      <alignment horizontal="center" vertical="center"/>
    </xf>
    <xf numFmtId="3" fontId="24" fillId="3" borderId="16" xfId="0" applyNumberFormat="1" applyFont="1" applyFill="1" applyBorder="1" applyAlignment="1">
      <alignment horizontal="right" vertical="center"/>
    </xf>
    <xf numFmtId="0" fontId="24" fillId="8" borderId="15" xfId="0" applyFont="1" applyFill="1" applyBorder="1"/>
    <xf numFmtId="3" fontId="18" fillId="0" borderId="15" xfId="0" applyNumberFormat="1" applyFont="1" applyBorder="1"/>
    <xf numFmtId="3" fontId="30" fillId="5" borderId="1" xfId="0" applyNumberFormat="1" applyFont="1" applyFill="1" applyBorder="1" applyAlignment="1">
      <alignment horizontal="center" vertical="center"/>
    </xf>
    <xf numFmtId="3" fontId="30" fillId="5" borderId="0" xfId="0" applyNumberFormat="1" applyFont="1" applyFill="1" applyBorder="1" applyAlignment="1">
      <alignment horizontal="center" vertical="center"/>
    </xf>
    <xf numFmtId="3" fontId="12" fillId="5" borderId="22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vertical="center"/>
    </xf>
    <xf numFmtId="3" fontId="12" fillId="3" borderId="9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vertical="center"/>
    </xf>
    <xf numFmtId="3" fontId="49" fillId="19" borderId="15" xfId="2" quotePrefix="1" applyNumberFormat="1" applyFont="1" applyFill="1" applyBorder="1" applyAlignment="1">
      <alignment horizontal="center" vertical="center"/>
    </xf>
    <xf numFmtId="3" fontId="28" fillId="19" borderId="58" xfId="2" applyNumberFormat="1" applyFont="1" applyFill="1" applyBorder="1" applyAlignment="1">
      <alignment horizontal="left" vertical="center" indent="2"/>
    </xf>
    <xf numFmtId="3" fontId="46" fillId="19" borderId="72" xfId="2" applyNumberFormat="1" applyFont="1" applyFill="1" applyBorder="1" applyAlignment="1">
      <alignment horizontal="left" vertical="center" indent="2"/>
    </xf>
    <xf numFmtId="3" fontId="25" fillId="8" borderId="15" xfId="0" applyNumberFormat="1" applyFont="1" applyFill="1" applyBorder="1" applyAlignment="1">
      <alignment horizontal="right" vertical="center"/>
    </xf>
    <xf numFmtId="3" fontId="46" fillId="12" borderId="16" xfId="2" quotePrefix="1" applyNumberFormat="1" applyFont="1" applyFill="1" applyBorder="1" applyAlignment="1">
      <alignment horizontal="center" vertical="center"/>
    </xf>
    <xf numFmtId="3" fontId="43" fillId="12" borderId="16" xfId="0" applyNumberFormat="1" applyFont="1" applyFill="1" applyBorder="1" applyAlignment="1">
      <alignment vertical="center"/>
    </xf>
    <xf numFmtId="3" fontId="46" fillId="8" borderId="15" xfId="2" quotePrefix="1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vertical="center"/>
    </xf>
    <xf numFmtId="3" fontId="35" fillId="3" borderId="15" xfId="0" applyNumberFormat="1" applyFont="1" applyFill="1" applyBorder="1" applyAlignment="1">
      <alignment vertical="center" wrapText="1"/>
    </xf>
    <xf numFmtId="3" fontId="22" fillId="3" borderId="15" xfId="0" applyNumberFormat="1" applyFont="1" applyFill="1" applyBorder="1" applyAlignment="1">
      <alignment horizontal="center" vertical="center"/>
    </xf>
    <xf numFmtId="3" fontId="24" fillId="2" borderId="9" xfId="0" applyNumberFormat="1" applyFont="1" applyFill="1" applyBorder="1" applyAlignment="1">
      <alignment horizontal="right" shrinkToFit="1"/>
    </xf>
    <xf numFmtId="3" fontId="25" fillId="2" borderId="3" xfId="0" applyNumberFormat="1" applyFont="1" applyFill="1" applyBorder="1" applyAlignment="1">
      <alignment horizontal="right" shrinkToFit="1"/>
    </xf>
    <xf numFmtId="0" fontId="25" fillId="0" borderId="118" xfId="0" applyFont="1" applyFill="1" applyBorder="1" applyAlignment="1">
      <alignment shrinkToFit="1"/>
    </xf>
    <xf numFmtId="0" fontId="25" fillId="0" borderId="38" xfId="0" applyFont="1" applyFill="1" applyBorder="1" applyAlignment="1">
      <alignment shrinkToFit="1"/>
    </xf>
    <xf numFmtId="0" fontId="25" fillId="0" borderId="119" xfId="0" applyFont="1" applyFill="1" applyBorder="1" applyAlignment="1">
      <alignment shrinkToFit="1"/>
    </xf>
    <xf numFmtId="2" fontId="24" fillId="0" borderId="15" xfId="0" applyNumberFormat="1" applyFont="1" applyFill="1" applyBorder="1" applyAlignment="1">
      <alignment shrinkToFit="1"/>
    </xf>
    <xf numFmtId="0" fontId="59" fillId="3" borderId="52" xfId="0" applyFont="1" applyFill="1" applyBorder="1" applyAlignment="1">
      <alignment horizontal="center" vertical="center"/>
    </xf>
    <xf numFmtId="0" fontId="59" fillId="3" borderId="61" xfId="0" applyFont="1" applyFill="1" applyBorder="1" applyAlignment="1">
      <alignment horizontal="center" vertical="center"/>
    </xf>
    <xf numFmtId="0" fontId="60" fillId="0" borderId="0" xfId="4" applyFont="1"/>
    <xf numFmtId="0" fontId="84" fillId="0" borderId="0" xfId="4" applyFont="1"/>
    <xf numFmtId="0" fontId="18" fillId="0" borderId="0" xfId="4" applyFont="1" applyAlignment="1">
      <alignment horizontal="right"/>
    </xf>
    <xf numFmtId="0" fontId="46" fillId="0" borderId="15" xfId="0" applyFont="1" applyBorder="1" applyAlignment="1">
      <alignment wrapText="1"/>
    </xf>
    <xf numFmtId="3" fontId="18" fillId="0" borderId="0" xfId="0" applyNumberFormat="1" applyFont="1" applyBorder="1"/>
    <xf numFmtId="0" fontId="18" fillId="0" borderId="15" xfId="0" applyFont="1" applyBorder="1" applyAlignment="1">
      <alignment wrapText="1"/>
    </xf>
    <xf numFmtId="3" fontId="24" fillId="0" borderId="15" xfId="0" applyNumberFormat="1" applyFont="1" applyBorder="1"/>
    <xf numFmtId="0" fontId="18" fillId="0" borderId="0" xfId="0" applyFont="1" applyBorder="1" applyAlignment="1">
      <alignment horizontal="center" vertical="center"/>
    </xf>
    <xf numFmtId="0" fontId="86" fillId="0" borderId="0" xfId="0" applyFont="1" applyBorder="1" applyAlignment="1"/>
    <xf numFmtId="3" fontId="86" fillId="0" borderId="0" xfId="0" applyNumberFormat="1" applyFont="1" applyBorder="1" applyAlignment="1"/>
    <xf numFmtId="0" fontId="18" fillId="0" borderId="15" xfId="4" applyFont="1" applyBorder="1" applyAlignment="1">
      <alignment horizontal="center" vertical="center"/>
    </xf>
    <xf numFmtId="0" fontId="18" fillId="0" borderId="15" xfId="4" applyFont="1" applyBorder="1"/>
    <xf numFmtId="3" fontId="84" fillId="0" borderId="0" xfId="4" applyNumberFormat="1" applyFont="1"/>
    <xf numFmtId="0" fontId="18" fillId="0" borderId="15" xfId="4" applyFont="1" applyBorder="1" applyAlignment="1">
      <alignment horizontal="center" vertical="center" wrapText="1"/>
    </xf>
    <xf numFmtId="3" fontId="18" fillId="0" borderId="15" xfId="4" applyNumberFormat="1" applyFont="1" applyBorder="1"/>
    <xf numFmtId="49" fontId="24" fillId="3" borderId="15" xfId="0" applyNumberFormat="1" applyFont="1" applyFill="1" applyBorder="1" applyAlignment="1">
      <alignment vertical="center" wrapText="1" shrinkToFit="1"/>
    </xf>
    <xf numFmtId="0" fontId="18" fillId="0" borderId="15" xfId="5" applyFont="1" applyBorder="1" applyAlignment="1">
      <alignment horizontal="left" wrapText="1" shrinkToFit="1"/>
    </xf>
    <xf numFmtId="3" fontId="18" fillId="0" borderId="0" xfId="0" applyNumberFormat="1" applyFont="1" applyBorder="1" applyAlignment="1">
      <alignment horizontal="right"/>
    </xf>
    <xf numFmtId="0" fontId="18" fillId="21" borderId="15" xfId="5" applyFont="1" applyFill="1" applyBorder="1" applyAlignment="1">
      <alignment horizontal="left" wrapText="1" shrinkToFit="1"/>
    </xf>
    <xf numFmtId="0" fontId="20" fillId="0" borderId="15" xfId="0" applyFont="1" applyBorder="1" applyAlignment="1">
      <alignment horizontal="center" vertical="center"/>
    </xf>
    <xf numFmtId="3" fontId="18" fillId="0" borderId="53" xfId="0" applyNumberFormat="1" applyFont="1" applyBorder="1" applyAlignment="1">
      <alignment horizontal="right"/>
    </xf>
    <xf numFmtId="3" fontId="18" fillId="0" borderId="14" xfId="0" applyNumberFormat="1" applyFont="1" applyBorder="1"/>
    <xf numFmtId="3" fontId="18" fillId="0" borderId="56" xfId="0" applyNumberFormat="1" applyFont="1" applyBorder="1" applyAlignment="1">
      <alignment horizontal="right"/>
    </xf>
    <xf numFmtId="0" fontId="66" fillId="0" borderId="0" xfId="10" applyFont="1"/>
    <xf numFmtId="0" fontId="62" fillId="0" borderId="0" xfId="10" applyFont="1"/>
    <xf numFmtId="0" fontId="25" fillId="0" borderId="15" xfId="0" applyFont="1" applyFill="1" applyBorder="1" applyAlignment="1">
      <alignment horizontal="center" vertical="center" shrinkToFit="1"/>
    </xf>
    <xf numFmtId="2" fontId="25" fillId="0" borderId="15" xfId="0" applyNumberFormat="1" applyFont="1" applyFill="1" applyBorder="1" applyAlignment="1">
      <alignment vertical="center" wrapText="1"/>
    </xf>
    <xf numFmtId="3" fontId="24" fillId="0" borderId="15" xfId="0" applyNumberFormat="1" applyFont="1" applyFill="1" applyBorder="1" applyAlignment="1">
      <alignment horizontal="right" vertical="center" shrinkToFit="1"/>
    </xf>
    <xf numFmtId="3" fontId="25" fillId="0" borderId="15" xfId="0" applyNumberFormat="1" applyFont="1" applyFill="1" applyBorder="1" applyAlignment="1">
      <alignment horizontal="right" vertical="center" shrinkToFit="1"/>
    </xf>
    <xf numFmtId="0" fontId="24" fillId="0" borderId="15" xfId="0" applyFont="1" applyFill="1" applyBorder="1" applyAlignment="1">
      <alignment horizontal="center" shrinkToFit="1"/>
    </xf>
    <xf numFmtId="2" fontId="24" fillId="0" borderId="15" xfId="0" applyNumberFormat="1" applyFont="1" applyFill="1" applyBorder="1" applyAlignment="1">
      <alignment horizontal="left" shrinkToFit="1"/>
    </xf>
    <xf numFmtId="2" fontId="25" fillId="0" borderId="15" xfId="0" applyNumberFormat="1" applyFont="1" applyFill="1" applyBorder="1" applyAlignment="1">
      <alignment horizontal="center" shrinkToFit="1"/>
    </xf>
    <xf numFmtId="3" fontId="24" fillId="0" borderId="15" xfId="0" applyNumberFormat="1" applyFont="1" applyFill="1" applyBorder="1" applyAlignment="1">
      <alignment horizontal="justify" vertical="center" shrinkToFit="1"/>
    </xf>
    <xf numFmtId="3" fontId="24" fillId="0" borderId="15" xfId="0" applyNumberFormat="1" applyFont="1" applyFill="1" applyBorder="1" applyAlignment="1">
      <alignment horizontal="right" shrinkToFit="1"/>
    </xf>
    <xf numFmtId="3" fontId="24" fillId="2" borderId="15" xfId="0" applyNumberFormat="1" applyFont="1" applyFill="1" applyBorder="1" applyAlignment="1">
      <alignment horizontal="right" shrinkToFit="1"/>
    </xf>
    <xf numFmtId="3" fontId="25" fillId="0" borderId="15" xfId="0" applyNumberFormat="1" applyFont="1" applyFill="1" applyBorder="1" applyAlignment="1">
      <alignment horizontal="right" shrinkToFit="1"/>
    </xf>
    <xf numFmtId="2" fontId="25" fillId="0" borderId="15" xfId="0" applyNumberFormat="1" applyFont="1" applyFill="1" applyBorder="1" applyAlignment="1">
      <alignment horizontal="left" vertical="center" wrapText="1" shrinkToFit="1"/>
    </xf>
    <xf numFmtId="2" fontId="25" fillId="0" borderId="15" xfId="0" applyNumberFormat="1" applyFont="1" applyFill="1" applyBorder="1" applyAlignment="1">
      <alignment vertical="center" shrinkToFit="1"/>
    </xf>
    <xf numFmtId="0" fontId="24" fillId="0" borderId="15" xfId="0" applyFont="1" applyFill="1" applyBorder="1" applyAlignment="1">
      <alignment horizontal="center" vertical="center" shrinkToFit="1"/>
    </xf>
    <xf numFmtId="3" fontId="25" fillId="3" borderId="15" xfId="0" applyNumberFormat="1" applyFont="1" applyFill="1" applyBorder="1" applyAlignment="1">
      <alignment horizontal="right" vertical="center" shrinkToFit="1"/>
    </xf>
    <xf numFmtId="3" fontId="35" fillId="3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shrinkToFit="1"/>
    </xf>
    <xf numFmtId="0" fontId="24" fillId="0" borderId="15" xfId="0" applyFont="1" applyFill="1" applyBorder="1" applyAlignment="1">
      <alignment horizontal="justify" shrinkToFit="1"/>
    </xf>
    <xf numFmtId="0" fontId="24" fillId="0" borderId="15" xfId="0" applyFont="1" applyFill="1" applyBorder="1" applyAlignment="1">
      <alignment horizontal="justify" vertical="center" shrinkToFit="1"/>
    </xf>
    <xf numFmtId="0" fontId="24" fillId="2" borderId="15" xfId="0" applyFont="1" applyFill="1" applyBorder="1" applyAlignment="1">
      <alignment horizontal="justify" vertical="center" shrinkToFit="1"/>
    </xf>
    <xf numFmtId="3" fontId="24" fillId="0" borderId="15" xfId="0" applyNumberFormat="1" applyFont="1" applyFill="1" applyBorder="1" applyAlignment="1">
      <alignment vertical="center" wrapText="1"/>
    </xf>
    <xf numFmtId="3" fontId="25" fillId="2" borderId="15" xfId="0" applyNumberFormat="1" applyFont="1" applyFill="1" applyBorder="1" applyAlignment="1">
      <alignment horizontal="right" shrinkToFit="1"/>
    </xf>
    <xf numFmtId="3" fontId="24" fillId="2" borderId="15" xfId="0" applyNumberFormat="1" applyFont="1" applyFill="1" applyBorder="1" applyAlignment="1">
      <alignment horizontal="right" vertical="center" shrinkToFit="1"/>
    </xf>
    <xf numFmtId="3" fontId="24" fillId="7" borderId="15" xfId="0" applyNumberFormat="1" applyFont="1" applyFill="1" applyBorder="1" applyAlignment="1">
      <alignment horizontal="right" vertical="center" shrinkToFit="1"/>
    </xf>
    <xf numFmtId="3" fontId="46" fillId="7" borderId="15" xfId="2" quotePrefix="1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>
      <alignment horizontal="right" vertical="center" shrinkToFit="1"/>
    </xf>
    <xf numFmtId="3" fontId="25" fillId="0" borderId="16" xfId="0" applyNumberFormat="1" applyFont="1" applyFill="1" applyBorder="1" applyAlignment="1">
      <alignment horizontal="right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2" fontId="25" fillId="0" borderId="13" xfId="0" applyNumberFormat="1" applyFont="1" applyFill="1" applyBorder="1" applyAlignment="1">
      <alignment vertical="center" wrapText="1"/>
    </xf>
    <xf numFmtId="3" fontId="24" fillId="0" borderId="13" xfId="0" applyNumberFormat="1" applyFont="1" applyFill="1" applyBorder="1" applyAlignment="1">
      <alignment horizontal="justify" vertical="center" shrinkToFit="1"/>
    </xf>
    <xf numFmtId="3" fontId="24" fillId="0" borderId="13" xfId="0" applyNumberFormat="1" applyFont="1" applyFill="1" applyBorder="1" applyAlignment="1">
      <alignment horizontal="right" vertical="center" shrinkToFit="1"/>
    </xf>
    <xf numFmtId="2" fontId="25" fillId="7" borderId="12" xfId="0" applyNumberFormat="1" applyFont="1" applyFill="1" applyBorder="1" applyAlignment="1">
      <alignment horizontal="center" shrinkToFit="1"/>
    </xf>
    <xf numFmtId="3" fontId="24" fillId="7" borderId="12" xfId="0" applyNumberFormat="1" applyFont="1" applyFill="1" applyBorder="1" applyAlignment="1">
      <alignment horizontal="right" vertical="center" shrinkToFit="1"/>
    </xf>
    <xf numFmtId="3" fontId="25" fillId="7" borderId="55" xfId="0" applyNumberFormat="1" applyFont="1" applyFill="1" applyBorder="1" applyAlignment="1">
      <alignment horizontal="right" vertical="center" shrinkToFit="1"/>
    </xf>
    <xf numFmtId="3" fontId="25" fillId="7" borderId="53" xfId="0" applyNumberFormat="1" applyFont="1" applyFill="1" applyBorder="1" applyAlignment="1">
      <alignment horizontal="right" vertical="center" shrinkToFit="1"/>
    </xf>
    <xf numFmtId="3" fontId="46" fillId="7" borderId="14" xfId="2" quotePrefix="1" applyNumberFormat="1" applyFont="1" applyFill="1" applyBorder="1" applyAlignment="1">
      <alignment horizontal="center" vertical="center"/>
    </xf>
    <xf numFmtId="3" fontId="24" fillId="7" borderId="14" xfId="0" applyNumberFormat="1" applyFont="1" applyFill="1" applyBorder="1" applyAlignment="1">
      <alignment horizontal="right" vertical="center" shrinkToFit="1"/>
    </xf>
    <xf numFmtId="3" fontId="25" fillId="7" borderId="56" xfId="0" applyNumberFormat="1" applyFont="1" applyFill="1" applyBorder="1" applyAlignment="1">
      <alignment horizontal="right" vertical="center" shrinkToFit="1"/>
    </xf>
    <xf numFmtId="3" fontId="25" fillId="7" borderId="15" xfId="0" applyNumberFormat="1" applyFont="1" applyFill="1" applyBorder="1" applyAlignment="1">
      <alignment horizontal="right" shrinkToFit="1"/>
    </xf>
    <xf numFmtId="0" fontId="24" fillId="0" borderId="16" xfId="0" applyFont="1" applyFill="1" applyBorder="1" applyAlignment="1">
      <alignment horizontal="center" shrinkToFit="1"/>
    </xf>
    <xf numFmtId="3" fontId="24" fillId="2" borderId="16" xfId="0" applyNumberFormat="1" applyFont="1" applyFill="1" applyBorder="1" applyAlignment="1">
      <alignment horizontal="right" shrinkToFit="1"/>
    </xf>
    <xf numFmtId="3" fontId="25" fillId="0" borderId="13" xfId="0" applyNumberFormat="1" applyFont="1" applyFill="1" applyBorder="1" applyAlignment="1">
      <alignment horizontal="right" vertical="center" shrinkToFit="1"/>
    </xf>
    <xf numFmtId="3" fontId="25" fillId="7" borderId="12" xfId="0" applyNumberFormat="1" applyFont="1" applyFill="1" applyBorder="1" applyAlignment="1">
      <alignment horizontal="right" shrinkToFit="1"/>
    </xf>
    <xf numFmtId="3" fontId="25" fillId="7" borderId="55" xfId="0" applyNumberFormat="1" applyFont="1" applyFill="1" applyBorder="1" applyAlignment="1">
      <alignment horizontal="right" shrinkToFit="1"/>
    </xf>
    <xf numFmtId="2" fontId="25" fillId="7" borderId="60" xfId="0" applyNumberFormat="1" applyFont="1" applyFill="1" applyBorder="1" applyAlignment="1">
      <alignment horizontal="center" shrinkToFit="1"/>
    </xf>
    <xf numFmtId="3" fontId="25" fillId="7" borderId="53" xfId="0" applyNumberFormat="1" applyFont="1" applyFill="1" applyBorder="1" applyAlignment="1">
      <alignment horizontal="right" shrinkToFit="1"/>
    </xf>
    <xf numFmtId="2" fontId="25" fillId="7" borderId="57" xfId="0" applyNumberFormat="1" applyFont="1" applyFill="1" applyBorder="1" applyAlignment="1">
      <alignment horizontal="center" shrinkToFit="1"/>
    </xf>
    <xf numFmtId="3" fontId="25" fillId="5" borderId="12" xfId="0" applyNumberFormat="1" applyFont="1" applyFill="1" applyBorder="1" applyAlignment="1">
      <alignment horizontal="right" vertical="center" shrinkToFit="1"/>
    </xf>
    <xf numFmtId="3" fontId="25" fillId="5" borderId="55" xfId="0" applyNumberFormat="1" applyFont="1" applyFill="1" applyBorder="1" applyAlignment="1">
      <alignment horizontal="right" vertical="center" shrinkToFit="1"/>
    </xf>
    <xf numFmtId="2" fontId="25" fillId="5" borderId="60" xfId="0" applyNumberFormat="1" applyFont="1" applyFill="1" applyBorder="1" applyAlignment="1">
      <alignment horizontal="center" vertical="center" shrinkToFit="1"/>
    </xf>
    <xf numFmtId="3" fontId="46" fillId="5" borderId="15" xfId="2" quotePrefix="1" applyNumberFormat="1" applyFont="1" applyFill="1" applyBorder="1" applyAlignment="1">
      <alignment horizontal="center" vertical="center"/>
    </xf>
    <xf numFmtId="3" fontId="25" fillId="5" borderId="15" xfId="0" applyNumberFormat="1" applyFont="1" applyFill="1" applyBorder="1" applyAlignment="1">
      <alignment horizontal="right" vertical="center" shrinkToFit="1"/>
    </xf>
    <xf numFmtId="3" fontId="25" fillId="5" borderId="53" xfId="0" applyNumberFormat="1" applyFont="1" applyFill="1" applyBorder="1" applyAlignment="1">
      <alignment horizontal="right" vertical="center" shrinkToFit="1"/>
    </xf>
    <xf numFmtId="2" fontId="25" fillId="5" borderId="57" xfId="0" applyNumberFormat="1" applyFont="1" applyFill="1" applyBorder="1" applyAlignment="1">
      <alignment horizontal="center" vertical="center" shrinkToFit="1"/>
    </xf>
    <xf numFmtId="3" fontId="46" fillId="5" borderId="14" xfId="2" quotePrefix="1" applyNumberFormat="1" applyFont="1" applyFill="1" applyBorder="1" applyAlignment="1">
      <alignment horizontal="center" vertical="center"/>
    </xf>
    <xf numFmtId="3" fontId="25" fillId="5" borderId="14" xfId="0" applyNumberFormat="1" applyFont="1" applyFill="1" applyBorder="1" applyAlignment="1">
      <alignment horizontal="right" vertical="center" shrinkToFit="1"/>
    </xf>
    <xf numFmtId="3" fontId="25" fillId="5" borderId="56" xfId="0" applyNumberFormat="1" applyFont="1" applyFill="1" applyBorder="1" applyAlignment="1">
      <alignment horizontal="right" vertical="center" shrinkToFit="1"/>
    </xf>
    <xf numFmtId="3" fontId="22" fillId="3" borderId="16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shrinkToFit="1"/>
    </xf>
    <xf numFmtId="0" fontId="25" fillId="5" borderId="60" xfId="0" applyFont="1" applyFill="1" applyBorder="1" applyAlignment="1">
      <alignment horizontal="center" vertical="center" shrinkToFit="1"/>
    </xf>
    <xf numFmtId="0" fontId="25" fillId="5" borderId="57" xfId="0" applyFont="1" applyFill="1" applyBorder="1" applyAlignment="1">
      <alignment horizontal="center" vertical="center" shrinkToFit="1"/>
    </xf>
    <xf numFmtId="3" fontId="25" fillId="5" borderId="3" xfId="0" applyNumberFormat="1" applyFont="1" applyFill="1" applyBorder="1" applyAlignment="1">
      <alignment horizontal="right" vertical="center" shrinkToFit="1"/>
    </xf>
    <xf numFmtId="3" fontId="25" fillId="5" borderId="15" xfId="0" applyNumberFormat="1" applyFont="1" applyFill="1" applyBorder="1" applyAlignment="1">
      <alignment horizontal="right" shrinkToFit="1"/>
    </xf>
    <xf numFmtId="0" fontId="37" fillId="5" borderId="15" xfId="0" applyFont="1" applyFill="1" applyBorder="1" applyAlignment="1">
      <alignment horizontal="center" shrinkToFit="1"/>
    </xf>
    <xf numFmtId="3" fontId="24" fillId="5" borderId="15" xfId="0" applyNumberFormat="1" applyFont="1" applyFill="1" applyBorder="1" applyAlignment="1">
      <alignment horizontal="justify" shrinkToFit="1"/>
    </xf>
    <xf numFmtId="3" fontId="9" fillId="7" borderId="0" xfId="2" applyNumberFormat="1" applyFont="1" applyFill="1" applyAlignment="1">
      <alignment vertical="center"/>
    </xf>
    <xf numFmtId="3" fontId="25" fillId="8" borderId="15" xfId="0" applyNumberFormat="1" applyFont="1" applyFill="1" applyBorder="1" applyAlignment="1">
      <alignment horizontal="right" vertical="center" shrinkToFit="1"/>
    </xf>
    <xf numFmtId="0" fontId="24" fillId="0" borderId="15" xfId="0" applyFont="1" applyBorder="1"/>
    <xf numFmtId="2" fontId="25" fillId="0" borderId="15" xfId="0" applyNumberFormat="1" applyFont="1" applyFill="1" applyBorder="1" applyAlignment="1">
      <alignment horizontal="center" vertical="center" wrapText="1" shrinkToFit="1"/>
    </xf>
    <xf numFmtId="2" fontId="25" fillId="8" borderId="15" xfId="0" applyNumberFormat="1" applyFont="1" applyFill="1" applyBorder="1" applyAlignment="1">
      <alignment horizontal="left" vertical="center" wrapText="1" shrinkToFit="1"/>
    </xf>
    <xf numFmtId="2" fontId="25" fillId="8" borderId="15" xfId="0" applyNumberFormat="1" applyFont="1" applyFill="1" applyBorder="1" applyAlignment="1">
      <alignment vertical="center" wrapText="1"/>
    </xf>
    <xf numFmtId="2" fontId="25" fillId="8" borderId="15" xfId="0" applyNumberFormat="1" applyFont="1" applyFill="1" applyBorder="1" applyAlignment="1">
      <alignment vertical="center" wrapText="1" shrinkToFit="1"/>
    </xf>
    <xf numFmtId="0" fontId="24" fillId="0" borderId="0" xfId="0" applyFont="1"/>
    <xf numFmtId="0" fontId="24" fillId="0" borderId="0" xfId="0" applyFont="1" applyBorder="1" applyAlignment="1">
      <alignment horizontal="left" vertical="top" wrapText="1"/>
    </xf>
    <xf numFmtId="3" fontId="24" fillId="0" borderId="0" xfId="0" applyNumberFormat="1" applyFont="1" applyBorder="1" applyAlignment="1">
      <alignment horizontal="right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left" vertical="top" wrapText="1"/>
    </xf>
    <xf numFmtId="3" fontId="24" fillId="0" borderId="18" xfId="0" applyNumberFormat="1" applyFont="1" applyBorder="1" applyAlignment="1">
      <alignment horizontal="right" vertical="top" wrapText="1"/>
    </xf>
    <xf numFmtId="0" fontId="25" fillId="0" borderId="82" xfId="0" applyFont="1" applyBorder="1" applyAlignment="1">
      <alignment horizontal="center" vertical="top" wrapText="1"/>
    </xf>
    <xf numFmtId="0" fontId="25" fillId="0" borderId="82" xfId="0" applyFont="1" applyBorder="1" applyAlignment="1">
      <alignment horizontal="left" vertical="top" wrapText="1"/>
    </xf>
    <xf numFmtId="3" fontId="25" fillId="0" borderId="82" xfId="0" applyNumberFormat="1" applyFont="1" applyBorder="1" applyAlignment="1">
      <alignment horizontal="right" vertical="top" wrapText="1"/>
    </xf>
    <xf numFmtId="0" fontId="24" fillId="0" borderId="82" xfId="0" applyFont="1" applyBorder="1" applyAlignment="1">
      <alignment horizontal="center" vertical="top" wrapText="1"/>
    </xf>
    <xf numFmtId="0" fontId="24" fillId="0" borderId="82" xfId="0" applyFont="1" applyBorder="1" applyAlignment="1">
      <alignment horizontal="left" vertical="top" wrapText="1"/>
    </xf>
    <xf numFmtId="3" fontId="24" fillId="0" borderId="82" xfId="0" applyNumberFormat="1" applyFont="1" applyBorder="1" applyAlignment="1">
      <alignment horizontal="right" vertical="top" wrapText="1"/>
    </xf>
    <xf numFmtId="0" fontId="24" fillId="0" borderId="22" xfId="0" applyFont="1" applyBorder="1"/>
    <xf numFmtId="0" fontId="24" fillId="0" borderId="34" xfId="0" applyFont="1" applyBorder="1"/>
    <xf numFmtId="0" fontId="24" fillId="0" borderId="0" xfId="0" applyFont="1" applyBorder="1" applyAlignment="1">
      <alignment horizontal="center" vertical="top" wrapText="1"/>
    </xf>
    <xf numFmtId="2" fontId="58" fillId="0" borderId="0" xfId="2" applyNumberFormat="1" applyFont="1" applyFill="1" applyAlignment="1">
      <alignment vertical="center"/>
    </xf>
    <xf numFmtId="4" fontId="19" fillId="0" borderId="0" xfId="2" applyNumberFormat="1" applyFont="1" applyFill="1" applyAlignment="1">
      <alignment horizontal="right" vertical="center"/>
    </xf>
    <xf numFmtId="0" fontId="18" fillId="3" borderId="0" xfId="7" applyFont="1" applyFill="1" applyAlignment="1"/>
    <xf numFmtId="3" fontId="18" fillId="3" borderId="0" xfId="7" applyNumberFormat="1" applyFont="1" applyFill="1" applyAlignment="1"/>
    <xf numFmtId="3" fontId="18" fillId="3" borderId="0" xfId="7" applyNumberFormat="1" applyFont="1" applyFill="1" applyAlignment="1">
      <alignment horizontal="right"/>
    </xf>
    <xf numFmtId="0" fontId="91" fillId="3" borderId="15" xfId="7" applyFont="1" applyFill="1" applyBorder="1" applyAlignment="1">
      <alignment horizontal="left" vertical="center" wrapText="1"/>
    </xf>
    <xf numFmtId="3" fontId="24" fillId="3" borderId="13" xfId="0" applyNumberFormat="1" applyFont="1" applyFill="1" applyBorder="1" applyAlignment="1">
      <alignment horizontal="center" vertical="center" wrapText="1"/>
    </xf>
    <xf numFmtId="3" fontId="78" fillId="3" borderId="1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left" vertical="top" wrapText="1"/>
    </xf>
    <xf numFmtId="3" fontId="24" fillId="3" borderId="15" xfId="7" applyNumberFormat="1" applyFont="1" applyFill="1" applyBorder="1" applyAlignment="1">
      <alignment horizontal="right" vertical="center"/>
    </xf>
    <xf numFmtId="3" fontId="25" fillId="3" borderId="15" xfId="7" applyNumberFormat="1" applyFont="1" applyFill="1" applyBorder="1" applyAlignment="1">
      <alignment horizontal="right" vertical="center"/>
    </xf>
    <xf numFmtId="3" fontId="25" fillId="16" borderId="15" xfId="7" applyNumberFormat="1" applyFont="1" applyFill="1" applyBorder="1" applyAlignment="1">
      <alignment horizontal="right" vertical="center"/>
    </xf>
    <xf numFmtId="0" fontId="25" fillId="3" borderId="13" xfId="0" applyFont="1" applyFill="1" applyBorder="1" applyAlignment="1">
      <alignment horizontal="left" vertical="top" wrapText="1"/>
    </xf>
    <xf numFmtId="3" fontId="25" fillId="3" borderId="62" xfId="7" applyNumberFormat="1" applyFont="1" applyFill="1" applyBorder="1" applyAlignment="1">
      <alignment vertical="center"/>
    </xf>
    <xf numFmtId="0" fontId="24" fillId="0" borderId="6" xfId="0" applyFont="1" applyBorder="1" applyAlignment="1">
      <alignment horizontal="left" vertical="top" wrapText="1"/>
    </xf>
    <xf numFmtId="3" fontId="24" fillId="0" borderId="15" xfId="0" applyNumberFormat="1" applyFont="1" applyBorder="1" applyAlignment="1">
      <alignment horizontal="right" vertical="top" wrapText="1"/>
    </xf>
    <xf numFmtId="3" fontId="24" fillId="3" borderId="15" xfId="7" applyNumberFormat="1" applyFont="1" applyFill="1" applyBorder="1" applyAlignment="1">
      <alignment vertical="center"/>
    </xf>
    <xf numFmtId="0" fontId="24" fillId="0" borderId="59" xfId="0" applyFont="1" applyBorder="1" applyAlignment="1">
      <alignment horizontal="left" vertical="top" wrapText="1"/>
    </xf>
    <xf numFmtId="3" fontId="24" fillId="3" borderId="13" xfId="7" applyNumberFormat="1" applyFont="1" applyFill="1" applyBorder="1" applyAlignment="1">
      <alignment vertical="center"/>
    </xf>
    <xf numFmtId="0" fontId="25" fillId="3" borderId="59" xfId="0" applyFont="1" applyFill="1" applyBorder="1" applyAlignment="1">
      <alignment horizontal="left" vertical="top" wrapText="1"/>
    </xf>
    <xf numFmtId="3" fontId="25" fillId="3" borderId="15" xfId="7" applyNumberFormat="1" applyFont="1" applyFill="1" applyBorder="1" applyAlignment="1">
      <alignment vertical="center"/>
    </xf>
    <xf numFmtId="0" fontId="24" fillId="0" borderId="6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5" borderId="59" xfId="0" applyFont="1" applyFill="1" applyBorder="1" applyAlignment="1">
      <alignment horizontal="left" vertical="top" wrapText="1"/>
    </xf>
    <xf numFmtId="3" fontId="25" fillId="5" borderId="15" xfId="7" applyNumberFormat="1" applyFont="1" applyFill="1" applyBorder="1" applyAlignment="1">
      <alignment vertical="center"/>
    </xf>
    <xf numFmtId="3" fontId="25" fillId="5" borderId="15" xfId="7" applyNumberFormat="1" applyFont="1" applyFill="1" applyBorder="1" applyAlignment="1">
      <alignment horizontal="right" vertical="center"/>
    </xf>
    <xf numFmtId="0" fontId="25" fillId="0" borderId="59" xfId="0" applyFont="1" applyBorder="1" applyAlignment="1">
      <alignment horizontal="left" vertical="top" wrapText="1"/>
    </xf>
    <xf numFmtId="0" fontId="25" fillId="5" borderId="62" xfId="0" applyFont="1" applyFill="1" applyBorder="1" applyAlignment="1">
      <alignment horizontal="left" vertical="top" wrapText="1"/>
    </xf>
    <xf numFmtId="3" fontId="24" fillId="5" borderId="15" xfId="7" applyNumberFormat="1" applyFont="1" applyFill="1" applyBorder="1" applyAlignment="1">
      <alignment vertical="center"/>
    </xf>
    <xf numFmtId="0" fontId="25" fillId="0" borderId="62" xfId="0" applyFont="1" applyBorder="1" applyAlignment="1">
      <alignment horizontal="left" vertical="top" wrapText="1"/>
    </xf>
    <xf numFmtId="3" fontId="24" fillId="3" borderId="62" xfId="7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3" fontId="25" fillId="5" borderId="62" xfId="7" applyNumberFormat="1" applyFont="1" applyFill="1" applyBorder="1" applyAlignment="1">
      <alignment vertical="center"/>
    </xf>
    <xf numFmtId="0" fontId="25" fillId="0" borderId="15" xfId="0" applyFont="1" applyBorder="1" applyAlignment="1">
      <alignment horizontal="left" vertical="top" wrapText="1"/>
    </xf>
    <xf numFmtId="3" fontId="25" fillId="0" borderId="15" xfId="0" applyNumberFormat="1" applyFont="1" applyBorder="1" applyAlignment="1">
      <alignment horizontal="right" vertical="top" wrapText="1"/>
    </xf>
    <xf numFmtId="0" fontId="24" fillId="0" borderId="33" xfId="0" applyFont="1" applyBorder="1" applyAlignment="1">
      <alignment horizontal="left" vertical="top" wrapText="1"/>
    </xf>
    <xf numFmtId="3" fontId="24" fillId="3" borderId="62" xfId="7" applyNumberFormat="1" applyFont="1" applyFill="1" applyBorder="1" applyAlignment="1">
      <alignment horizontal="right" vertical="center"/>
    </xf>
    <xf numFmtId="3" fontId="24" fillId="5" borderId="62" xfId="7" applyNumberFormat="1" applyFont="1" applyFill="1" applyBorder="1" applyAlignment="1">
      <alignment vertical="center"/>
    </xf>
    <xf numFmtId="0" fontId="25" fillId="5" borderId="0" xfId="0" applyFont="1" applyFill="1" applyAlignment="1">
      <alignment horizontal="left" vertical="top" wrapText="1"/>
    </xf>
    <xf numFmtId="0" fontId="25" fillId="11" borderId="59" xfId="0" applyFont="1" applyFill="1" applyBorder="1" applyAlignment="1">
      <alignment horizontal="left" vertical="top" wrapText="1"/>
    </xf>
    <xf numFmtId="3" fontId="24" fillId="11" borderId="15" xfId="7" applyNumberFormat="1" applyFont="1" applyFill="1" applyBorder="1" applyAlignment="1">
      <alignment vertical="center"/>
    </xf>
    <xf numFmtId="3" fontId="25" fillId="11" borderId="15" xfId="7" applyNumberFormat="1" applyFont="1" applyFill="1" applyBorder="1" applyAlignment="1">
      <alignment horizontal="right" vertical="center"/>
    </xf>
    <xf numFmtId="3" fontId="24" fillId="3" borderId="15" xfId="7" applyNumberFormat="1" applyFont="1" applyFill="1" applyBorder="1" applyAlignment="1">
      <alignment horizontal="center" vertical="center"/>
    </xf>
    <xf numFmtId="3" fontId="24" fillId="3" borderId="62" xfId="7" applyNumberFormat="1" applyFont="1" applyFill="1" applyBorder="1" applyAlignment="1">
      <alignment horizontal="center" vertical="center"/>
    </xf>
    <xf numFmtId="3" fontId="25" fillId="3" borderId="0" xfId="7" applyNumberFormat="1" applyFont="1" applyFill="1" applyBorder="1" applyAlignment="1">
      <alignment vertical="center"/>
    </xf>
    <xf numFmtId="3" fontId="25" fillId="5" borderId="15" xfId="7" applyNumberFormat="1" applyFont="1" applyFill="1" applyBorder="1" applyAlignment="1"/>
    <xf numFmtId="3" fontId="24" fillId="3" borderId="15" xfId="7" applyNumberFormat="1" applyFont="1" applyFill="1" applyBorder="1" applyAlignment="1"/>
    <xf numFmtId="3" fontId="24" fillId="3" borderId="62" xfId="7" applyNumberFormat="1" applyFont="1" applyFill="1" applyBorder="1" applyAlignment="1"/>
    <xf numFmtId="3" fontId="24" fillId="5" borderId="15" xfId="7" applyNumberFormat="1" applyFont="1" applyFill="1" applyBorder="1" applyAlignment="1"/>
    <xf numFmtId="3" fontId="24" fillId="5" borderId="62" xfId="7" applyNumberFormat="1" applyFont="1" applyFill="1" applyBorder="1" applyAlignment="1"/>
    <xf numFmtId="0" fontId="25" fillId="11" borderId="74" xfId="0" applyFont="1" applyFill="1" applyBorder="1" applyAlignment="1">
      <alignment horizontal="left" vertical="top" wrapText="1"/>
    </xf>
    <xf numFmtId="3" fontId="24" fillId="11" borderId="15" xfId="7" applyNumberFormat="1" applyFont="1" applyFill="1" applyBorder="1" applyAlignment="1"/>
    <xf numFmtId="164" fontId="24" fillId="0" borderId="15" xfId="0" applyNumberFormat="1" applyFont="1" applyBorder="1" applyAlignment="1">
      <alignment horizontal="center" vertical="center" wrapText="1"/>
    </xf>
    <xf numFmtId="0" fontId="24" fillId="3" borderId="15" xfId="0" quotePrefix="1" applyFont="1" applyFill="1" applyBorder="1"/>
    <xf numFmtId="0" fontId="24" fillId="3" borderId="15" xfId="0" applyFont="1" applyFill="1" applyBorder="1" applyAlignment="1">
      <alignment wrapText="1"/>
    </xf>
    <xf numFmtId="3" fontId="24" fillId="3" borderId="15" xfId="0" applyNumberFormat="1" applyFont="1" applyFill="1" applyBorder="1"/>
    <xf numFmtId="3" fontId="92" fillId="5" borderId="15" xfId="0" applyNumberFormat="1" applyFont="1" applyFill="1" applyBorder="1"/>
    <xf numFmtId="0" fontId="93" fillId="3" borderId="15" xfId="0" applyFont="1" applyFill="1" applyBorder="1"/>
    <xf numFmtId="0" fontId="93" fillId="3" borderId="15" xfId="0" applyFont="1" applyFill="1" applyBorder="1" applyAlignment="1">
      <alignment wrapText="1"/>
    </xf>
    <xf numFmtId="3" fontId="93" fillId="3" borderId="15" xfId="0" applyNumberFormat="1" applyFont="1" applyFill="1" applyBorder="1"/>
    <xf numFmtId="0" fontId="92" fillId="5" borderId="15" xfId="0" applyFont="1" applyFill="1" applyBorder="1"/>
    <xf numFmtId="0" fontId="92" fillId="5" borderId="15" xfId="0" applyFont="1" applyFill="1" applyBorder="1" applyAlignment="1">
      <alignment wrapText="1"/>
    </xf>
    <xf numFmtId="0" fontId="92" fillId="3" borderId="15" xfId="0" applyFont="1" applyFill="1" applyBorder="1"/>
    <xf numFmtId="0" fontId="92" fillId="3" borderId="15" xfId="0" applyFont="1" applyFill="1" applyBorder="1" applyAlignment="1">
      <alignment wrapText="1"/>
    </xf>
    <xf numFmtId="3" fontId="92" fillId="3" borderId="15" xfId="0" applyNumberFormat="1" applyFont="1" applyFill="1" applyBorder="1"/>
    <xf numFmtId="0" fontId="24" fillId="3" borderId="15" xfId="0" applyFont="1" applyFill="1" applyBorder="1"/>
    <xf numFmtId="3" fontId="24" fillId="0" borderId="15" xfId="0" quotePrefix="1" applyNumberFormat="1" applyFont="1" applyBorder="1" applyAlignment="1">
      <alignment horizontal="center" vertical="center" wrapText="1"/>
    </xf>
    <xf numFmtId="164" fontId="24" fillId="3" borderId="15" xfId="0" applyNumberFormat="1" applyFont="1" applyFill="1" applyBorder="1" applyAlignment="1">
      <alignment horizontal="center" vertical="center" wrapText="1"/>
    </xf>
    <xf numFmtId="3" fontId="24" fillId="3" borderId="13" xfId="0" applyNumberFormat="1" applyFont="1" applyFill="1" applyBorder="1" applyAlignment="1">
      <alignment horizontal="center" vertical="center" wrapText="1"/>
    </xf>
    <xf numFmtId="3" fontId="78" fillId="3" borderId="15" xfId="0" applyNumberFormat="1" applyFont="1" applyFill="1" applyBorder="1" applyAlignment="1">
      <alignment horizontal="center" vertical="center"/>
    </xf>
    <xf numFmtId="0" fontId="89" fillId="17" borderId="82" xfId="0" applyFont="1" applyFill="1" applyBorder="1" applyAlignment="1">
      <alignment horizontal="center" vertical="top" wrapText="1"/>
    </xf>
    <xf numFmtId="3" fontId="30" fillId="3" borderId="15" xfId="0" applyNumberFormat="1" applyFont="1" applyFill="1" applyBorder="1" applyAlignment="1">
      <alignment horizontal="center" vertical="center"/>
    </xf>
    <xf numFmtId="3" fontId="24" fillId="3" borderId="13" xfId="0" applyNumberFormat="1" applyFont="1" applyFill="1" applyBorder="1" applyAlignment="1">
      <alignment horizontal="center" vertical="center" wrapText="1"/>
    </xf>
    <xf numFmtId="0" fontId="0" fillId="0" borderId="0" xfId="0"/>
    <xf numFmtId="3" fontId="50" fillId="7" borderId="82" xfId="2" applyNumberFormat="1" applyFont="1" applyFill="1" applyBorder="1" applyAlignment="1">
      <alignment horizontal="center" vertical="center"/>
    </xf>
    <xf numFmtId="3" fontId="50" fillId="7" borderId="45" xfId="2" applyNumberFormat="1" applyFont="1" applyFill="1" applyBorder="1" applyAlignment="1">
      <alignment horizontal="center" vertical="center"/>
    </xf>
    <xf numFmtId="3" fontId="50" fillId="7" borderId="84" xfId="2" applyNumberFormat="1" applyFont="1" applyFill="1" applyBorder="1" applyAlignment="1">
      <alignment horizontal="center" vertical="center"/>
    </xf>
    <xf numFmtId="3" fontId="50" fillId="7" borderId="85" xfId="2" applyNumberFormat="1" applyFont="1" applyFill="1" applyBorder="1" applyAlignment="1">
      <alignment horizontal="center" vertical="center"/>
    </xf>
    <xf numFmtId="3" fontId="50" fillId="7" borderId="35" xfId="2" applyNumberFormat="1" applyFont="1" applyFill="1" applyBorder="1" applyAlignment="1">
      <alignment horizontal="center" vertical="center"/>
    </xf>
    <xf numFmtId="3" fontId="50" fillId="3" borderId="49" xfId="2" applyNumberFormat="1" applyFont="1" applyFill="1" applyBorder="1" applyAlignment="1">
      <alignment horizontal="center" vertical="center"/>
    </xf>
    <xf numFmtId="3" fontId="50" fillId="3" borderId="13" xfId="2" applyNumberFormat="1" applyFont="1" applyFill="1" applyBorder="1" applyAlignment="1">
      <alignment horizontal="center" vertical="center"/>
    </xf>
    <xf numFmtId="3" fontId="50" fillId="3" borderId="60" xfId="2" applyNumberFormat="1" applyFont="1" applyFill="1" applyBorder="1" applyAlignment="1">
      <alignment horizontal="center" vertical="center"/>
    </xf>
    <xf numFmtId="3" fontId="50" fillId="3" borderId="15" xfId="2" applyNumberFormat="1" applyFont="1" applyFill="1" applyBorder="1" applyAlignment="1">
      <alignment horizontal="center" vertical="center"/>
    </xf>
    <xf numFmtId="4" fontId="20" fillId="3" borderId="50" xfId="2" applyNumberFormat="1" applyFont="1" applyFill="1" applyBorder="1" applyAlignment="1">
      <alignment horizontal="right" vertical="center"/>
    </xf>
    <xf numFmtId="3" fontId="50" fillId="3" borderId="57" xfId="2" applyNumberFormat="1" applyFont="1" applyFill="1" applyBorder="1" applyAlignment="1">
      <alignment horizontal="center" vertical="center"/>
    </xf>
    <xf numFmtId="3" fontId="50" fillId="3" borderId="14" xfId="2" applyNumberFormat="1" applyFont="1" applyFill="1" applyBorder="1" applyAlignment="1">
      <alignment horizontal="center" vertical="center"/>
    </xf>
    <xf numFmtId="3" fontId="51" fillId="7" borderId="82" xfId="2" applyNumberFormat="1" applyFont="1" applyFill="1" applyBorder="1" applyAlignment="1">
      <alignment horizontal="center" vertical="center"/>
    </xf>
    <xf numFmtId="3" fontId="50" fillId="7" borderId="82" xfId="2" applyNumberFormat="1" applyFont="1" applyFill="1" applyBorder="1" applyAlignment="1">
      <alignment vertical="center"/>
    </xf>
    <xf numFmtId="3" fontId="20" fillId="7" borderId="82" xfId="2" applyNumberFormat="1" applyFont="1" applyFill="1" applyBorder="1" applyAlignment="1">
      <alignment vertical="center"/>
    </xf>
    <xf numFmtId="3" fontId="20" fillId="7" borderId="82" xfId="2" applyNumberFormat="1" applyFont="1" applyFill="1" applyBorder="1" applyAlignment="1">
      <alignment horizontal="right" vertical="center"/>
    </xf>
    <xf numFmtId="4" fontId="20" fillId="7" borderId="51" xfId="2" applyNumberFormat="1" applyFont="1" applyFill="1" applyBorder="1" applyAlignment="1">
      <alignment horizontal="right" vertical="center"/>
    </xf>
    <xf numFmtId="3" fontId="51" fillId="7" borderId="79" xfId="2" applyNumberFormat="1" applyFont="1" applyFill="1" applyBorder="1" applyAlignment="1">
      <alignment horizontal="center" vertical="center"/>
    </xf>
    <xf numFmtId="3" fontId="49" fillId="7" borderId="82" xfId="2" applyNumberFormat="1" applyFont="1" applyFill="1" applyBorder="1" applyAlignment="1">
      <alignment horizontal="left" vertical="center" indent="2"/>
    </xf>
    <xf numFmtId="3" fontId="50" fillId="7" borderId="83" xfId="2" applyNumberFormat="1" applyFont="1" applyFill="1" applyBorder="1" applyAlignment="1">
      <alignment vertical="center"/>
    </xf>
    <xf numFmtId="3" fontId="51" fillId="7" borderId="44" xfId="2" applyNumberFormat="1" applyFont="1" applyFill="1" applyBorder="1" applyAlignment="1">
      <alignment horizontal="center" vertical="center"/>
    </xf>
    <xf numFmtId="3" fontId="51" fillId="7" borderId="1" xfId="2" applyNumberFormat="1" applyFont="1" applyFill="1" applyBorder="1" applyAlignment="1">
      <alignment horizontal="center" vertical="center"/>
    </xf>
    <xf numFmtId="3" fontId="51" fillId="7" borderId="68" xfId="2" applyNumberFormat="1" applyFont="1" applyFill="1" applyBorder="1" applyAlignment="1">
      <alignment horizontal="center" vertical="center"/>
    </xf>
    <xf numFmtId="3" fontId="51" fillId="7" borderId="69" xfId="2" applyNumberFormat="1" applyFont="1" applyFill="1" applyBorder="1" applyAlignment="1">
      <alignment horizontal="center" vertical="center"/>
    </xf>
    <xf numFmtId="3" fontId="94" fillId="6" borderId="1" xfId="2" applyNumberFormat="1" applyFont="1" applyFill="1" applyBorder="1" applyAlignment="1">
      <alignment horizontal="center" vertical="center"/>
    </xf>
    <xf numFmtId="3" fontId="94" fillId="6" borderId="0" xfId="2" applyNumberFormat="1" applyFont="1" applyFill="1" applyBorder="1" applyAlignment="1">
      <alignment horizontal="center" vertical="center"/>
    </xf>
    <xf numFmtId="3" fontId="95" fillId="10" borderId="66" xfId="2" applyNumberFormat="1" applyFont="1" applyFill="1" applyBorder="1" applyAlignment="1">
      <alignment horizontal="center" vertical="center"/>
    </xf>
    <xf numFmtId="3" fontId="95" fillId="10" borderId="7" xfId="2" applyNumberFormat="1" applyFont="1" applyFill="1" applyBorder="1" applyAlignment="1">
      <alignment horizontal="center" vertical="center"/>
    </xf>
    <xf numFmtId="3" fontId="95" fillId="10" borderId="62" xfId="2" applyNumberFormat="1" applyFont="1" applyFill="1" applyBorder="1" applyAlignment="1">
      <alignment horizontal="center" vertical="center"/>
    </xf>
    <xf numFmtId="3" fontId="95" fillId="0" borderId="15" xfId="2" applyNumberFormat="1" applyFont="1" applyFill="1" applyBorder="1" applyAlignment="1">
      <alignment horizontal="center" vertical="center"/>
    </xf>
    <xf numFmtId="3" fontId="95" fillId="0" borderId="13" xfId="2" applyNumberFormat="1" applyFont="1" applyFill="1" applyBorder="1" applyAlignment="1">
      <alignment horizontal="center" vertical="center"/>
    </xf>
    <xf numFmtId="3" fontId="95" fillId="0" borderId="13" xfId="2" applyNumberFormat="1" applyFont="1" applyFill="1" applyBorder="1" applyAlignment="1">
      <alignment vertical="center"/>
    </xf>
    <xf numFmtId="3" fontId="46" fillId="0" borderId="13" xfId="2" applyNumberFormat="1" applyFont="1" applyFill="1" applyBorder="1" applyAlignment="1">
      <alignment horizontal="right" vertical="center"/>
    </xf>
    <xf numFmtId="3" fontId="46" fillId="3" borderId="13" xfId="2" applyNumberFormat="1" applyFont="1" applyFill="1" applyBorder="1" applyAlignment="1">
      <alignment horizontal="right" vertical="center"/>
    </xf>
    <xf numFmtId="1" fontId="95" fillId="0" borderId="15" xfId="2" applyNumberFormat="1" applyFont="1" applyFill="1" applyBorder="1" applyAlignment="1">
      <alignment vertical="center"/>
    </xf>
    <xf numFmtId="3" fontId="18" fillId="3" borderId="13" xfId="2" applyNumberFormat="1" applyFont="1" applyFill="1" applyBorder="1" applyAlignment="1">
      <alignment horizontal="right" vertical="center"/>
    </xf>
    <xf numFmtId="3" fontId="20" fillId="3" borderId="13" xfId="2" applyNumberFormat="1" applyFont="1" applyFill="1" applyBorder="1" applyAlignment="1">
      <alignment horizontal="right" vertical="center"/>
    </xf>
    <xf numFmtId="3" fontId="20" fillId="3" borderId="13" xfId="2" applyNumberFormat="1" applyFont="1" applyFill="1" applyBorder="1" applyAlignment="1">
      <alignment vertical="center"/>
    </xf>
    <xf numFmtId="3" fontId="95" fillId="3" borderId="32" xfId="2" applyNumberFormat="1" applyFont="1" applyFill="1" applyBorder="1" applyAlignment="1">
      <alignment horizontal="center" vertical="center"/>
    </xf>
    <xf numFmtId="1" fontId="95" fillId="3" borderId="13" xfId="2" applyNumberFormat="1" applyFont="1" applyFill="1" applyBorder="1" applyAlignment="1">
      <alignment vertical="center"/>
    </xf>
    <xf numFmtId="3" fontId="95" fillId="3" borderId="60" xfId="2" applyNumberFormat="1" applyFont="1" applyFill="1" applyBorder="1" applyAlignment="1">
      <alignment horizontal="center" vertical="center"/>
    </xf>
    <xf numFmtId="3" fontId="95" fillId="3" borderId="15" xfId="2" applyNumberFormat="1" applyFont="1" applyFill="1" applyBorder="1" applyAlignment="1">
      <alignment horizontal="center" vertical="center"/>
    </xf>
    <xf numFmtId="3" fontId="51" fillId="10" borderId="49" xfId="2" applyNumberFormat="1" applyFont="1" applyFill="1" applyBorder="1" applyAlignment="1">
      <alignment horizontal="center" vertical="center"/>
    </xf>
    <xf numFmtId="1" fontId="95" fillId="3" borderId="15" xfId="2" applyNumberFormat="1" applyFont="1" applyFill="1" applyBorder="1" applyAlignment="1">
      <alignment vertical="center"/>
    </xf>
    <xf numFmtId="3" fontId="95" fillId="3" borderId="74" xfId="2" applyNumberFormat="1" applyFont="1" applyFill="1" applyBorder="1" applyAlignment="1">
      <alignment horizontal="center" vertical="center"/>
    </xf>
    <xf numFmtId="3" fontId="95" fillId="3" borderId="58" xfId="2" applyNumberFormat="1" applyFont="1" applyFill="1" applyBorder="1" applyAlignment="1">
      <alignment horizontal="center" vertical="center"/>
    </xf>
    <xf numFmtId="3" fontId="96" fillId="0" borderId="0" xfId="2" applyNumberFormat="1" applyFont="1" applyFill="1" applyAlignment="1">
      <alignment horizontal="center" vertical="center"/>
    </xf>
    <xf numFmtId="3" fontId="53" fillId="0" borderId="0" xfId="2" applyNumberFormat="1" applyFont="1" applyFill="1" applyAlignment="1">
      <alignment vertical="center"/>
    </xf>
    <xf numFmtId="3" fontId="96" fillId="3" borderId="0" xfId="2" applyNumberFormat="1" applyFont="1" applyFill="1" applyAlignment="1">
      <alignment horizontal="center" vertical="center"/>
    </xf>
    <xf numFmtId="3" fontId="53" fillId="3" borderId="0" xfId="2" applyNumberFormat="1" applyFont="1" applyFill="1" applyAlignment="1">
      <alignment vertical="center"/>
    </xf>
    <xf numFmtId="3" fontId="56" fillId="3" borderId="16" xfId="2" applyNumberFormat="1" applyFont="1" applyFill="1" applyBorder="1" applyAlignment="1">
      <alignment horizontal="center" vertical="center"/>
    </xf>
    <xf numFmtId="3" fontId="57" fillId="3" borderId="9" xfId="2" quotePrefix="1" applyNumberFormat="1" applyFont="1" applyFill="1" applyBorder="1" applyAlignment="1">
      <alignment horizontal="center" vertical="center"/>
    </xf>
    <xf numFmtId="3" fontId="50" fillId="7" borderId="0" xfId="2" applyNumberFormat="1" applyFont="1" applyFill="1" applyBorder="1" applyAlignment="1">
      <alignment vertical="center"/>
    </xf>
    <xf numFmtId="3" fontId="95" fillId="9" borderId="49" xfId="2" applyNumberFormat="1" applyFont="1" applyFill="1" applyBorder="1" applyAlignment="1">
      <alignment horizontal="center" vertical="center"/>
    </xf>
    <xf numFmtId="3" fontId="88" fillId="9" borderId="52" xfId="2" applyNumberFormat="1" applyFont="1" applyFill="1" applyBorder="1" applyAlignment="1">
      <alignment vertical="center"/>
    </xf>
    <xf numFmtId="3" fontId="95" fillId="3" borderId="49" xfId="2" applyNumberFormat="1" applyFont="1" applyFill="1" applyBorder="1" applyAlignment="1">
      <alignment horizontal="center" vertical="center"/>
    </xf>
    <xf numFmtId="3" fontId="88" fillId="3" borderId="52" xfId="2" applyNumberFormat="1" applyFont="1" applyFill="1" applyBorder="1" applyAlignment="1">
      <alignment vertical="center"/>
    </xf>
    <xf numFmtId="3" fontId="98" fillId="3" borderId="49" xfId="2" applyNumberFormat="1" applyFont="1" applyFill="1" applyBorder="1" applyAlignment="1">
      <alignment horizontal="center" vertical="center"/>
    </xf>
    <xf numFmtId="3" fontId="95" fillId="3" borderId="52" xfId="2" applyNumberFormat="1" applyFont="1" applyFill="1" applyBorder="1" applyAlignment="1">
      <alignment horizontal="center" vertical="center"/>
    </xf>
    <xf numFmtId="3" fontId="98" fillId="3" borderId="38" xfId="2" applyNumberFormat="1" applyFont="1" applyFill="1" applyBorder="1" applyAlignment="1">
      <alignment horizontal="center" vertical="center"/>
    </xf>
    <xf numFmtId="3" fontId="95" fillId="3" borderId="30" xfId="2" applyNumberFormat="1" applyFont="1" applyFill="1" applyBorder="1" applyAlignment="1">
      <alignment horizontal="center" vertical="center"/>
    </xf>
    <xf numFmtId="3" fontId="95" fillId="3" borderId="91" xfId="2" applyNumberFormat="1" applyFont="1" applyFill="1" applyBorder="1" applyAlignment="1">
      <alignment horizontal="center" vertical="center"/>
    </xf>
    <xf numFmtId="3" fontId="95" fillId="3" borderId="89" xfId="2" applyNumberFormat="1" applyFont="1" applyFill="1" applyBorder="1" applyAlignment="1">
      <alignment horizontal="center" vertical="center"/>
    </xf>
    <xf numFmtId="3" fontId="51" fillId="7" borderId="90" xfId="2" applyNumberFormat="1" applyFont="1" applyFill="1" applyBorder="1" applyAlignment="1">
      <alignment horizontal="center" vertical="center"/>
    </xf>
    <xf numFmtId="3" fontId="51" fillId="7" borderId="0" xfId="2" applyNumberFormat="1" applyFont="1" applyFill="1" applyBorder="1" applyAlignment="1">
      <alignment horizontal="center" vertical="center"/>
    </xf>
    <xf numFmtId="3" fontId="88" fillId="0" borderId="0" xfId="2" applyNumberFormat="1" applyFont="1" applyFill="1" applyAlignment="1">
      <alignment vertical="center"/>
    </xf>
    <xf numFmtId="3" fontId="51" fillId="6" borderId="68" xfId="2" applyNumberFormat="1" applyFont="1" applyFill="1" applyBorder="1" applyAlignment="1">
      <alignment horizontal="center" vertical="center"/>
    </xf>
    <xf numFmtId="3" fontId="51" fillId="6" borderId="69" xfId="2" applyNumberFormat="1" applyFont="1" applyFill="1" applyBorder="1" applyAlignment="1">
      <alignment horizontal="center" vertical="center"/>
    </xf>
    <xf numFmtId="3" fontId="94" fillId="0" borderId="0" xfId="2" applyNumberFormat="1" applyFont="1" applyFill="1" applyAlignment="1">
      <alignment vertical="center"/>
    </xf>
    <xf numFmtId="3" fontId="94" fillId="6" borderId="68" xfId="2" applyNumberFormat="1" applyFont="1" applyFill="1" applyBorder="1" applyAlignment="1">
      <alignment horizontal="center" vertical="center"/>
    </xf>
    <xf numFmtId="3" fontId="94" fillId="6" borderId="69" xfId="2" applyNumberFormat="1" applyFont="1" applyFill="1" applyBorder="1" applyAlignment="1">
      <alignment horizontal="center" vertical="center"/>
    </xf>
    <xf numFmtId="3" fontId="57" fillId="3" borderId="46" xfId="2" quotePrefix="1" applyNumberFormat="1" applyFont="1" applyFill="1" applyBorder="1" applyAlignment="1">
      <alignment horizontal="center" vertical="center"/>
    </xf>
    <xf numFmtId="3" fontId="57" fillId="3" borderId="90" xfId="2" quotePrefix="1" applyNumberFormat="1" applyFont="1" applyFill="1" applyBorder="1" applyAlignment="1">
      <alignment horizontal="center" vertical="center"/>
    </xf>
    <xf numFmtId="3" fontId="57" fillId="3" borderId="30" xfId="2" quotePrefix="1" applyNumberFormat="1" applyFont="1" applyFill="1" applyBorder="1" applyAlignment="1">
      <alignment horizontal="center" vertical="center"/>
    </xf>
    <xf numFmtId="3" fontId="57" fillId="3" borderId="0" xfId="2" quotePrefix="1" applyNumberFormat="1" applyFont="1" applyFill="1" applyBorder="1" applyAlignment="1">
      <alignment horizontal="center" vertical="center"/>
    </xf>
    <xf numFmtId="3" fontId="95" fillId="10" borderId="78" xfId="2" applyNumberFormat="1" applyFont="1" applyFill="1" applyBorder="1" applyAlignment="1">
      <alignment vertical="center"/>
    </xf>
    <xf numFmtId="3" fontId="95" fillId="10" borderId="6" xfId="2" applyNumberFormat="1" applyFont="1" applyFill="1" applyBorder="1" applyAlignment="1">
      <alignment horizontal="center" vertical="center"/>
    </xf>
    <xf numFmtId="3" fontId="95" fillId="10" borderId="30" xfId="2" applyNumberFormat="1" applyFont="1" applyFill="1" applyBorder="1" applyAlignment="1">
      <alignment vertical="center"/>
    </xf>
    <xf numFmtId="3" fontId="95" fillId="10" borderId="58" xfId="2" applyNumberFormat="1" applyFont="1" applyFill="1" applyBorder="1" applyAlignment="1">
      <alignment vertical="center"/>
    </xf>
    <xf numFmtId="3" fontId="95" fillId="0" borderId="15" xfId="2" applyNumberFormat="1" applyFont="1" applyFill="1" applyBorder="1" applyAlignment="1">
      <alignment vertical="center"/>
    </xf>
    <xf numFmtId="3" fontId="95" fillId="10" borderId="15" xfId="2" applyNumberFormat="1" applyFont="1" applyFill="1" applyBorder="1" applyAlignment="1">
      <alignment horizontal="center" vertical="center"/>
    </xf>
    <xf numFmtId="1" fontId="95" fillId="10" borderId="13" xfId="2" applyNumberFormat="1" applyFont="1" applyFill="1" applyBorder="1" applyAlignment="1">
      <alignment vertical="center"/>
    </xf>
    <xf numFmtId="3" fontId="95" fillId="3" borderId="62" xfId="2" applyNumberFormat="1" applyFont="1" applyFill="1" applyBorder="1" applyAlignment="1">
      <alignment horizontal="center" vertical="center"/>
    </xf>
    <xf numFmtId="1" fontId="95" fillId="3" borderId="52" xfId="2" applyNumberFormat="1" applyFont="1" applyFill="1" applyBorder="1" applyAlignment="1">
      <alignment vertical="center"/>
    </xf>
    <xf numFmtId="3" fontId="95" fillId="10" borderId="67" xfId="2" applyNumberFormat="1" applyFont="1" applyFill="1" applyBorder="1" applyAlignment="1">
      <alignment horizontal="center" vertical="center"/>
    </xf>
    <xf numFmtId="3" fontId="95" fillId="10" borderId="75" xfId="2" applyNumberFormat="1" applyFont="1" applyFill="1" applyBorder="1" applyAlignment="1">
      <alignment horizontal="center" vertical="center"/>
    </xf>
    <xf numFmtId="3" fontId="95" fillId="10" borderId="49" xfId="2" applyNumberFormat="1" applyFont="1" applyFill="1" applyBorder="1" applyAlignment="1">
      <alignment horizontal="center" vertical="center"/>
    </xf>
    <xf numFmtId="3" fontId="95" fillId="10" borderId="52" xfId="2" applyNumberFormat="1" applyFont="1" applyFill="1" applyBorder="1" applyAlignment="1">
      <alignment horizontal="center" vertical="center"/>
    </xf>
    <xf numFmtId="3" fontId="95" fillId="3" borderId="40" xfId="2" applyNumberFormat="1" applyFont="1" applyFill="1" applyBorder="1" applyAlignment="1">
      <alignment horizontal="center" vertical="center"/>
    </xf>
    <xf numFmtId="3" fontId="95" fillId="3" borderId="16" xfId="2" applyNumberFormat="1" applyFont="1" applyFill="1" applyBorder="1" applyAlignment="1">
      <alignment horizontal="center" vertical="center"/>
    </xf>
    <xf numFmtId="3" fontId="95" fillId="3" borderId="57" xfId="2" applyNumberFormat="1" applyFont="1" applyFill="1" applyBorder="1" applyAlignment="1">
      <alignment horizontal="center" vertical="center"/>
    </xf>
    <xf numFmtId="3" fontId="95" fillId="3" borderId="14" xfId="2" applyNumberFormat="1" applyFont="1" applyFill="1" applyBorder="1" applyAlignment="1">
      <alignment horizontal="center" vertical="center"/>
    </xf>
    <xf numFmtId="3" fontId="95" fillId="3" borderId="38" xfId="2" applyNumberFormat="1" applyFont="1" applyFill="1" applyBorder="1" applyAlignment="1">
      <alignment horizontal="center" vertical="center"/>
    </xf>
    <xf numFmtId="3" fontId="51" fillId="10" borderId="52" xfId="2" applyNumberFormat="1" applyFont="1" applyFill="1" applyBorder="1" applyAlignment="1">
      <alignment horizontal="center" vertical="center"/>
    </xf>
    <xf numFmtId="3" fontId="51" fillId="10" borderId="32" xfId="2" applyNumberFormat="1" applyFont="1" applyFill="1" applyBorder="1" applyAlignment="1">
      <alignment horizontal="center" vertical="center"/>
    </xf>
    <xf numFmtId="1" fontId="95" fillId="3" borderId="58" xfId="2" applyNumberFormat="1" applyFont="1" applyFill="1" applyBorder="1" applyAlignment="1">
      <alignment vertical="center"/>
    </xf>
    <xf numFmtId="3" fontId="95" fillId="3" borderId="0" xfId="2" applyNumberFormat="1" applyFont="1" applyFill="1" applyBorder="1" applyAlignment="1">
      <alignment horizontal="center" vertical="center"/>
    </xf>
    <xf numFmtId="3" fontId="95" fillId="3" borderId="9" xfId="2" applyNumberFormat="1" applyFont="1" applyFill="1" applyBorder="1" applyAlignment="1">
      <alignment horizontal="center" vertical="center"/>
    </xf>
    <xf numFmtId="1" fontId="95" fillId="3" borderId="0" xfId="2" applyNumberFormat="1" applyFont="1" applyFill="1" applyBorder="1" applyAlignment="1">
      <alignment vertical="center"/>
    </xf>
    <xf numFmtId="3" fontId="50" fillId="6" borderId="82" xfId="2" applyNumberFormat="1" applyFont="1" applyFill="1" applyBorder="1" applyAlignment="1">
      <alignment horizontal="center" vertical="center"/>
    </xf>
    <xf numFmtId="3" fontId="97" fillId="6" borderId="82" xfId="2" applyNumberFormat="1" applyFont="1" applyFill="1" applyBorder="1" applyAlignment="1">
      <alignment horizontal="center" vertical="center"/>
    </xf>
    <xf numFmtId="3" fontId="56" fillId="3" borderId="1" xfId="2" applyNumberFormat="1" applyFont="1" applyFill="1" applyBorder="1" applyAlignment="1">
      <alignment horizontal="left" vertical="center"/>
    </xf>
    <xf numFmtId="0" fontId="56" fillId="3" borderId="0" xfId="0" applyFont="1" applyFill="1" applyBorder="1" applyAlignment="1">
      <alignment horizontal="left" vertical="center"/>
    </xf>
    <xf numFmtId="3" fontId="56" fillId="3" borderId="40" xfId="2" applyNumberFormat="1" applyFont="1" applyFill="1" applyBorder="1" applyAlignment="1">
      <alignment horizontal="center" vertical="center"/>
    </xf>
    <xf numFmtId="3" fontId="56" fillId="3" borderId="61" xfId="2" applyNumberFormat="1" applyFont="1" applyFill="1" applyBorder="1" applyAlignment="1">
      <alignment horizontal="center" vertical="center"/>
    </xf>
    <xf numFmtId="3" fontId="56" fillId="3" borderId="1" xfId="2" applyNumberFormat="1" applyFont="1" applyFill="1" applyBorder="1" applyAlignment="1">
      <alignment horizontal="center" vertical="center"/>
    </xf>
    <xf numFmtId="3" fontId="56" fillId="3" borderId="0" xfId="2" applyNumberFormat="1" applyFont="1" applyFill="1" applyBorder="1" applyAlignment="1">
      <alignment horizontal="center" vertical="center"/>
    </xf>
    <xf numFmtId="3" fontId="50" fillId="6" borderId="82" xfId="2" applyNumberFormat="1" applyFont="1" applyFill="1" applyBorder="1" applyAlignment="1">
      <alignment horizontal="center" vertical="center" wrapText="1"/>
    </xf>
    <xf numFmtId="3" fontId="50" fillId="22" borderId="82" xfId="2" applyNumberFormat="1" applyFont="1" applyFill="1" applyBorder="1" applyAlignment="1">
      <alignment horizontal="center" vertical="center"/>
    </xf>
    <xf numFmtId="3" fontId="97" fillId="22" borderId="82" xfId="2" applyNumberFormat="1" applyFont="1" applyFill="1" applyBorder="1" applyAlignment="1">
      <alignment horizontal="center" vertical="center"/>
    </xf>
    <xf numFmtId="3" fontId="95" fillId="22" borderId="82" xfId="2" applyNumberFormat="1" applyFont="1" applyFill="1" applyBorder="1" applyAlignment="1">
      <alignment horizontal="center" vertical="center"/>
    </xf>
    <xf numFmtId="3" fontId="88" fillId="22" borderId="82" xfId="2" applyNumberFormat="1" applyFont="1" applyFill="1" applyBorder="1" applyAlignment="1">
      <alignment vertical="center"/>
    </xf>
    <xf numFmtId="3" fontId="95" fillId="0" borderId="0" xfId="2" applyNumberFormat="1" applyFont="1" applyFill="1" applyAlignment="1">
      <alignment horizontal="center" vertical="center"/>
    </xf>
    <xf numFmtId="0" fontId="99" fillId="0" borderId="0" xfId="0" applyFont="1"/>
    <xf numFmtId="0" fontId="0" fillId="0" borderId="0" xfId="0"/>
    <xf numFmtId="0" fontId="0" fillId="0" borderId="0" xfId="0"/>
    <xf numFmtId="3" fontId="28" fillId="3" borderId="15" xfId="2" applyNumberFormat="1" applyFont="1" applyFill="1" applyBorder="1" applyAlignment="1">
      <alignment horizontal="left" vertical="center" indent="2"/>
    </xf>
    <xf numFmtId="3" fontId="22" fillId="10" borderId="15" xfId="0" applyNumberFormat="1" applyFont="1" applyFill="1" applyBorder="1" applyAlignment="1">
      <alignment horizontal="left" vertical="center"/>
    </xf>
    <xf numFmtId="49" fontId="12" fillId="3" borderId="15" xfId="0" applyNumberFormat="1" applyFont="1" applyFill="1" applyBorder="1" applyAlignment="1">
      <alignment horizontal="center" vertical="center"/>
    </xf>
    <xf numFmtId="3" fontId="43" fillId="3" borderId="15" xfId="0" applyNumberFormat="1" applyFont="1" applyFill="1" applyBorder="1" applyAlignment="1">
      <alignment horizontal="center" vertical="center"/>
    </xf>
    <xf numFmtId="3" fontId="46" fillId="10" borderId="72" xfId="2" quotePrefix="1" applyNumberFormat="1" applyFont="1" applyFill="1" applyBorder="1" applyAlignment="1">
      <alignment horizontal="center" vertical="center"/>
    </xf>
    <xf numFmtId="49" fontId="12" fillId="8" borderId="15" xfId="0" applyNumberFormat="1" applyFont="1" applyFill="1" applyBorder="1" applyAlignment="1">
      <alignment horizontal="center" vertical="center"/>
    </xf>
    <xf numFmtId="3" fontId="24" fillId="3" borderId="74" xfId="0" applyNumberFormat="1" applyFont="1" applyFill="1" applyBorder="1" applyAlignment="1">
      <alignment horizontal="right" vertical="center"/>
    </xf>
    <xf numFmtId="3" fontId="24" fillId="0" borderId="13" xfId="0" applyNumberFormat="1" applyFont="1" applyBorder="1" applyAlignment="1">
      <alignment horizontal="center" vertical="center" wrapText="1"/>
    </xf>
    <xf numFmtId="3" fontId="49" fillId="3" borderId="14" xfId="2" quotePrefix="1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3" fontId="25" fillId="0" borderId="14" xfId="0" quotePrefix="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1" fontId="22" fillId="0" borderId="58" xfId="2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 indent="1"/>
    </xf>
    <xf numFmtId="0" fontId="25" fillId="0" borderId="13" xfId="0" applyFont="1" applyBorder="1" applyAlignment="1">
      <alignment horizontal="center" vertical="center" wrapText="1"/>
    </xf>
    <xf numFmtId="3" fontId="25" fillId="0" borderId="13" xfId="0" quotePrefix="1" applyNumberFormat="1" applyFont="1" applyBorder="1" applyAlignment="1">
      <alignment horizontal="center" vertical="center" wrapText="1"/>
    </xf>
    <xf numFmtId="164" fontId="24" fillId="3" borderId="13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0" fontId="25" fillId="0" borderId="6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3" fontId="25" fillId="0" borderId="12" xfId="0" quotePrefix="1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5" fillId="0" borderId="55" xfId="0" applyNumberFormat="1" applyFont="1" applyBorder="1" applyAlignment="1">
      <alignment horizontal="center" vertical="center" wrapText="1"/>
    </xf>
    <xf numFmtId="3" fontId="18" fillId="3" borderId="60" xfId="2" quotePrefix="1" applyNumberFormat="1" applyFont="1" applyFill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 wrapText="1"/>
    </xf>
    <xf numFmtId="3" fontId="18" fillId="3" borderId="57" xfId="2" quotePrefix="1" applyNumberFormat="1" applyFont="1" applyFill="1" applyBorder="1" applyAlignment="1">
      <alignment horizontal="center" vertical="center"/>
    </xf>
    <xf numFmtId="3" fontId="24" fillId="0" borderId="56" xfId="0" applyNumberFormat="1" applyFont="1" applyBorder="1" applyAlignment="1">
      <alignment horizontal="center" vertical="center" wrapText="1"/>
    </xf>
    <xf numFmtId="0" fontId="12" fillId="0" borderId="67" xfId="0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 wrapText="1"/>
    </xf>
    <xf numFmtId="3" fontId="12" fillId="3" borderId="12" xfId="0" applyNumberFormat="1" applyFont="1" applyFill="1" applyBorder="1" applyAlignment="1">
      <alignment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3" fontId="49" fillId="3" borderId="60" xfId="2" quotePrefix="1" applyNumberFormat="1" applyFont="1" applyFill="1" applyBorder="1" applyAlignment="1">
      <alignment horizontal="center" vertical="center"/>
    </xf>
    <xf numFmtId="41" fontId="24" fillId="0" borderId="15" xfId="0" applyNumberFormat="1" applyFont="1" applyBorder="1" applyAlignment="1">
      <alignment horizontal="center" vertical="center" wrapText="1"/>
    </xf>
    <xf numFmtId="0" fontId="83" fillId="0" borderId="0" xfId="0" applyFont="1"/>
    <xf numFmtId="0" fontId="0" fillId="0" borderId="0" xfId="0" applyFont="1"/>
    <xf numFmtId="3" fontId="26" fillId="5" borderId="15" xfId="9" applyNumberFormat="1" applyFont="1" applyFill="1" applyBorder="1" applyAlignment="1">
      <alignment horizontal="center" vertical="center"/>
    </xf>
    <xf numFmtId="0" fontId="83" fillId="0" borderId="22" xfId="0" applyFont="1" applyBorder="1" applyAlignment="1">
      <alignment horizontal="center"/>
    </xf>
    <xf numFmtId="0" fontId="83" fillId="0" borderId="34" xfId="0" applyFont="1" applyBorder="1" applyAlignment="1">
      <alignment horizontal="center"/>
    </xf>
    <xf numFmtId="0" fontId="83" fillId="0" borderId="22" xfId="0" applyFont="1" applyBorder="1"/>
    <xf numFmtId="0" fontId="83" fillId="0" borderId="34" xfId="0" applyFont="1" applyBorder="1"/>
    <xf numFmtId="0" fontId="72" fillId="3" borderId="15" xfId="4" applyFont="1" applyFill="1" applyBorder="1" applyAlignment="1">
      <alignment horizontal="left" wrapText="1"/>
    </xf>
    <xf numFmtId="0" fontId="82" fillId="0" borderId="15" xfId="0" applyFont="1" applyBorder="1" applyAlignment="1">
      <alignment wrapText="1"/>
    </xf>
    <xf numFmtId="3" fontId="24" fillId="3" borderId="13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right" wrapText="1"/>
    </xf>
    <xf numFmtId="3" fontId="49" fillId="3" borderId="57" xfId="2" quotePrefix="1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3" fontId="29" fillId="0" borderId="15" xfId="0" applyNumberFormat="1" applyFont="1" applyBorder="1" applyAlignment="1">
      <alignment vertical="center" wrapText="1"/>
    </xf>
    <xf numFmtId="3" fontId="29" fillId="0" borderId="16" xfId="0" applyNumberFormat="1" applyFont="1" applyBorder="1" applyAlignment="1">
      <alignment vertical="center" wrapText="1"/>
    </xf>
    <xf numFmtId="3" fontId="48" fillId="7" borderId="1" xfId="2" applyNumberFormat="1" applyFont="1" applyFill="1" applyBorder="1" applyAlignment="1">
      <alignment horizontal="center" vertical="center"/>
    </xf>
    <xf numFmtId="3" fontId="10" fillId="7" borderId="0" xfId="2" applyNumberFormat="1" applyFont="1" applyFill="1" applyBorder="1" applyAlignment="1">
      <alignment vertical="center"/>
    </xf>
    <xf numFmtId="49" fontId="10" fillId="3" borderId="15" xfId="2" applyNumberFormat="1" applyFont="1" applyFill="1" applyBorder="1" applyAlignment="1">
      <alignment vertical="center"/>
    </xf>
    <xf numFmtId="3" fontId="102" fillId="3" borderId="49" xfId="2" applyNumberFormat="1" applyFont="1" applyFill="1" applyBorder="1" applyAlignment="1">
      <alignment horizontal="center" vertical="center"/>
    </xf>
    <xf numFmtId="3" fontId="9" fillId="3" borderId="52" xfId="2" applyNumberFormat="1" applyFont="1" applyFill="1" applyBorder="1" applyAlignment="1">
      <alignment vertical="center"/>
    </xf>
    <xf numFmtId="49" fontId="10" fillId="3" borderId="30" xfId="2" applyNumberFormat="1" applyFont="1" applyFill="1" applyBorder="1" applyAlignment="1">
      <alignment vertical="center"/>
    </xf>
    <xf numFmtId="3" fontId="18" fillId="3" borderId="13" xfId="2" applyNumberFormat="1" applyFont="1" applyFill="1" applyBorder="1" applyAlignment="1">
      <alignment vertical="center"/>
    </xf>
    <xf numFmtId="3" fontId="102" fillId="9" borderId="49" xfId="2" applyNumberFormat="1" applyFont="1" applyFill="1" applyBorder="1" applyAlignment="1">
      <alignment horizontal="center" vertical="center"/>
    </xf>
    <xf numFmtId="3" fontId="9" fillId="9" borderId="52" xfId="2" applyNumberFormat="1" applyFont="1" applyFill="1" applyBorder="1" applyAlignment="1">
      <alignment vertical="center"/>
    </xf>
    <xf numFmtId="49" fontId="10" fillId="3" borderId="52" xfId="2" applyNumberFormat="1" applyFont="1" applyFill="1" applyBorder="1" applyAlignment="1">
      <alignment vertical="center"/>
    </xf>
    <xf numFmtId="1" fontId="28" fillId="3" borderId="15" xfId="2" applyNumberFormat="1" applyFont="1" applyFill="1" applyBorder="1" applyAlignment="1">
      <alignment horizontal="right" vertical="center"/>
    </xf>
    <xf numFmtId="3" fontId="103" fillId="3" borderId="38" xfId="2" applyNumberFormat="1" applyFont="1" applyFill="1" applyBorder="1" applyAlignment="1">
      <alignment horizontal="center" vertical="center"/>
    </xf>
    <xf numFmtId="3" fontId="102" fillId="3" borderId="30" xfId="2" applyNumberFormat="1" applyFont="1" applyFill="1" applyBorder="1" applyAlignment="1">
      <alignment horizontal="center" vertical="center"/>
    </xf>
    <xf numFmtId="49" fontId="48" fillId="3" borderId="30" xfId="2" applyNumberFormat="1" applyFont="1" applyFill="1" applyBorder="1" applyAlignment="1">
      <alignment horizontal="center" vertical="center"/>
    </xf>
    <xf numFmtId="3" fontId="46" fillId="0" borderId="15" xfId="2" applyNumberFormat="1" applyFont="1" applyFill="1" applyBorder="1" applyAlignment="1">
      <alignment vertical="center"/>
    </xf>
    <xf numFmtId="3" fontId="46" fillId="3" borderId="15" xfId="2" applyNumberFormat="1" applyFont="1" applyFill="1" applyBorder="1" applyAlignment="1">
      <alignment horizontal="right" vertical="center"/>
    </xf>
    <xf numFmtId="3" fontId="46" fillId="3" borderId="15" xfId="2" applyNumberFormat="1" applyFont="1" applyFill="1" applyBorder="1" applyAlignment="1">
      <alignment vertical="center"/>
    </xf>
    <xf numFmtId="4" fontId="49" fillId="3" borderId="53" xfId="2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102" fillId="3" borderId="89" xfId="2" applyNumberFormat="1" applyFont="1" applyFill="1" applyBorder="1" applyAlignment="1">
      <alignment horizontal="center" vertical="center"/>
    </xf>
    <xf numFmtId="3" fontId="28" fillId="0" borderId="15" xfId="2" applyNumberFormat="1" applyFont="1" applyFill="1" applyBorder="1" applyAlignment="1">
      <alignment vertical="center"/>
    </xf>
    <xf numFmtId="3" fontId="48" fillId="7" borderId="79" xfId="2" applyNumberFormat="1" applyFont="1" applyFill="1" applyBorder="1" applyAlignment="1">
      <alignment horizontal="center" vertical="center"/>
    </xf>
    <xf numFmtId="3" fontId="10" fillId="7" borderId="82" xfId="2" applyNumberFormat="1" applyFont="1" applyFill="1" applyBorder="1" applyAlignment="1">
      <alignment vertical="center"/>
    </xf>
    <xf numFmtId="3" fontId="46" fillId="7" borderId="46" xfId="2" quotePrefix="1" applyNumberFormat="1" applyFont="1" applyFill="1" applyBorder="1" applyAlignment="1">
      <alignment horizontal="center" vertical="center"/>
    </xf>
    <xf numFmtId="168" fontId="20" fillId="7" borderId="82" xfId="2" applyNumberFormat="1" applyFont="1" applyFill="1" applyBorder="1" applyAlignment="1">
      <alignment vertical="center"/>
    </xf>
    <xf numFmtId="168" fontId="18" fillId="3" borderId="15" xfId="2" applyNumberFormat="1" applyFont="1" applyFill="1" applyBorder="1" applyAlignment="1">
      <alignment vertical="center"/>
    </xf>
    <xf numFmtId="168" fontId="18" fillId="3" borderId="13" xfId="2" applyNumberFormat="1" applyFont="1" applyFill="1" applyBorder="1" applyAlignment="1">
      <alignment vertical="center"/>
    </xf>
    <xf numFmtId="168" fontId="46" fillId="3" borderId="15" xfId="2" applyNumberFormat="1" applyFont="1" applyFill="1" applyBorder="1" applyAlignment="1">
      <alignment vertical="center"/>
    </xf>
    <xf numFmtId="3" fontId="20" fillId="7" borderId="82" xfId="2" applyNumberFormat="1" applyFont="1" applyFill="1" applyBorder="1" applyAlignment="1">
      <alignment horizontal="left" vertical="center" wrapText="1" indent="1"/>
    </xf>
    <xf numFmtId="3" fontId="46" fillId="7" borderId="9" xfId="2" quotePrefix="1" applyNumberFormat="1" applyFont="1" applyFill="1" applyBorder="1" applyAlignment="1">
      <alignment horizontal="center" vertical="center"/>
    </xf>
    <xf numFmtId="3" fontId="20" fillId="7" borderId="83" xfId="2" applyNumberFormat="1" applyFont="1" applyFill="1" applyBorder="1" applyAlignment="1">
      <alignment vertical="center"/>
    </xf>
    <xf numFmtId="168" fontId="20" fillId="7" borderId="83" xfId="2" applyNumberFormat="1" applyFont="1" applyFill="1" applyBorder="1" applyAlignment="1">
      <alignment vertical="center"/>
    </xf>
    <xf numFmtId="3" fontId="46" fillId="7" borderId="45" xfId="2" quotePrefix="1" applyNumberFormat="1" applyFont="1" applyFill="1" applyBorder="1" applyAlignment="1">
      <alignment horizontal="center" vertical="center"/>
    </xf>
    <xf numFmtId="3" fontId="20" fillId="9" borderId="10" xfId="2" applyNumberFormat="1" applyFont="1" applyFill="1" applyBorder="1" applyAlignment="1">
      <alignment vertical="center"/>
    </xf>
    <xf numFmtId="3" fontId="20" fillId="11" borderId="12" xfId="2" applyNumberFormat="1" applyFont="1" applyFill="1" applyBorder="1" applyAlignment="1">
      <alignment vertical="center"/>
    </xf>
    <xf numFmtId="168" fontId="20" fillId="11" borderId="12" xfId="2" applyNumberFormat="1" applyFont="1" applyFill="1" applyBorder="1" applyAlignment="1">
      <alignment vertical="center"/>
    </xf>
    <xf numFmtId="3" fontId="20" fillId="11" borderId="12" xfId="2" applyNumberFormat="1" applyFont="1" applyFill="1" applyBorder="1" applyAlignment="1">
      <alignment horizontal="right" vertical="center"/>
    </xf>
    <xf numFmtId="4" fontId="20" fillId="11" borderId="34" xfId="2" applyNumberFormat="1" applyFont="1" applyFill="1" applyBorder="1" applyAlignment="1">
      <alignment horizontal="right" vertical="center"/>
    </xf>
    <xf numFmtId="3" fontId="49" fillId="11" borderId="15" xfId="2" quotePrefix="1" applyNumberFormat="1" applyFont="1" applyFill="1" applyBorder="1" applyAlignment="1">
      <alignment horizontal="center" vertical="center"/>
    </xf>
    <xf numFmtId="3" fontId="20" fillId="11" borderId="15" xfId="2" applyNumberFormat="1" applyFont="1" applyFill="1" applyBorder="1" applyAlignment="1">
      <alignment vertical="center"/>
    </xf>
    <xf numFmtId="168" fontId="20" fillId="11" borderId="15" xfId="2" applyNumberFormat="1" applyFont="1" applyFill="1" applyBorder="1" applyAlignment="1">
      <alignment vertical="center"/>
    </xf>
    <xf numFmtId="3" fontId="20" fillId="11" borderId="15" xfId="2" applyNumberFormat="1" applyFont="1" applyFill="1" applyBorder="1" applyAlignment="1">
      <alignment horizontal="right" vertical="center"/>
    </xf>
    <xf numFmtId="4" fontId="20" fillId="11" borderId="53" xfId="2" applyNumberFormat="1" applyFont="1" applyFill="1" applyBorder="1" applyAlignment="1">
      <alignment horizontal="right" vertical="center"/>
    </xf>
    <xf numFmtId="3" fontId="49" fillId="11" borderId="14" xfId="2" quotePrefix="1" applyNumberFormat="1" applyFont="1" applyFill="1" applyBorder="1" applyAlignment="1">
      <alignment horizontal="center" vertical="center"/>
    </xf>
    <xf numFmtId="3" fontId="20" fillId="11" borderId="14" xfId="2" applyNumberFormat="1" applyFont="1" applyFill="1" applyBorder="1" applyAlignment="1">
      <alignment vertical="center"/>
    </xf>
    <xf numFmtId="168" fontId="20" fillId="11" borderId="14" xfId="2" applyNumberFormat="1" applyFont="1" applyFill="1" applyBorder="1" applyAlignment="1">
      <alignment vertical="center"/>
    </xf>
    <xf numFmtId="3" fontId="20" fillId="11" borderId="14" xfId="2" applyNumberFormat="1" applyFont="1" applyFill="1" applyBorder="1" applyAlignment="1">
      <alignment horizontal="right" vertical="center"/>
    </xf>
    <xf numFmtId="49" fontId="10" fillId="3" borderId="13" xfId="2" applyNumberFormat="1" applyFont="1" applyFill="1" applyBorder="1" applyAlignment="1">
      <alignment vertical="center"/>
    </xf>
    <xf numFmtId="3" fontId="46" fillId="3" borderId="13" xfId="2" applyNumberFormat="1" applyFont="1" applyFill="1" applyBorder="1" applyAlignment="1">
      <alignment horizontal="left" vertical="center" indent="2"/>
    </xf>
    <xf numFmtId="168" fontId="20" fillId="3" borderId="13" xfId="2" applyNumberFormat="1" applyFont="1" applyFill="1" applyBorder="1" applyAlignment="1">
      <alignment vertical="center"/>
    </xf>
    <xf numFmtId="3" fontId="9" fillId="9" borderId="15" xfId="2" applyNumberFormat="1" applyFont="1" applyFill="1" applyBorder="1" applyAlignment="1">
      <alignment vertical="center"/>
    </xf>
    <xf numFmtId="3" fontId="18" fillId="9" borderId="13" xfId="2" applyNumberFormat="1" applyFont="1" applyFill="1" applyBorder="1" applyAlignment="1">
      <alignment vertical="center"/>
    </xf>
    <xf numFmtId="168" fontId="18" fillId="9" borderId="13" xfId="2" applyNumberFormat="1" applyFont="1" applyFill="1" applyBorder="1" applyAlignment="1">
      <alignment vertical="center"/>
    </xf>
    <xf numFmtId="3" fontId="18" fillId="9" borderId="13" xfId="2" applyNumberFormat="1" applyFont="1" applyFill="1" applyBorder="1" applyAlignment="1">
      <alignment horizontal="right" vertical="center"/>
    </xf>
    <xf numFmtId="3" fontId="20" fillId="9" borderId="13" xfId="2" applyNumberFormat="1" applyFont="1" applyFill="1" applyBorder="1" applyAlignment="1">
      <alignment vertical="center"/>
    </xf>
    <xf numFmtId="4" fontId="20" fillId="9" borderId="50" xfId="2" applyNumberFormat="1" applyFont="1" applyFill="1" applyBorder="1" applyAlignment="1">
      <alignment horizontal="right" vertical="center"/>
    </xf>
    <xf numFmtId="3" fontId="46" fillId="11" borderId="15" xfId="2" quotePrefix="1" applyNumberFormat="1" applyFont="1" applyFill="1" applyBorder="1" applyAlignment="1">
      <alignment horizontal="center" vertical="center"/>
    </xf>
    <xf numFmtId="49" fontId="48" fillId="3" borderId="52" xfId="2" applyNumberFormat="1" applyFont="1" applyFill="1" applyBorder="1" applyAlignment="1">
      <alignment horizontal="center" vertical="center"/>
    </xf>
    <xf numFmtId="3" fontId="28" fillId="3" borderId="15" xfId="2" applyNumberFormat="1" applyFont="1" applyFill="1" applyBorder="1" applyAlignment="1">
      <alignment vertical="center"/>
    </xf>
    <xf numFmtId="3" fontId="46" fillId="0" borderId="15" xfId="2" applyNumberFormat="1" applyFont="1" applyFill="1" applyBorder="1" applyAlignment="1">
      <alignment horizontal="left" vertical="center" indent="2"/>
    </xf>
    <xf numFmtId="49" fontId="48" fillId="3" borderId="61" xfId="2" applyNumberFormat="1" applyFont="1" applyFill="1" applyBorder="1" applyAlignment="1">
      <alignment horizontal="center" vertical="center"/>
    </xf>
    <xf numFmtId="3" fontId="25" fillId="3" borderId="58" xfId="7" applyNumberFormat="1" applyFont="1" applyFill="1" applyBorder="1" applyAlignment="1">
      <alignment vertical="center"/>
    </xf>
    <xf numFmtId="0" fontId="24" fillId="0" borderId="83" xfId="0" applyFont="1" applyBorder="1"/>
    <xf numFmtId="0" fontId="24" fillId="17" borderId="82" xfId="0" applyFont="1" applyFill="1" applyBorder="1" applyAlignment="1">
      <alignment horizontal="center" vertical="top" wrapText="1"/>
    </xf>
    <xf numFmtId="3" fontId="25" fillId="5" borderId="15" xfId="9" applyNumberFormat="1" applyFont="1" applyFill="1" applyBorder="1" applyAlignment="1">
      <alignment horizontal="center" vertical="center"/>
    </xf>
    <xf numFmtId="3" fontId="24" fillId="0" borderId="15" xfId="9" applyNumberFormat="1" applyFont="1" applyFill="1" applyBorder="1" applyAlignment="1">
      <alignment horizontal="right" vertical="center" wrapText="1"/>
    </xf>
    <xf numFmtId="3" fontId="25" fillId="0" borderId="15" xfId="9" applyNumberFormat="1" applyFont="1" applyFill="1" applyBorder="1" applyAlignment="1">
      <alignment horizontal="right" vertical="center" wrapText="1"/>
    </xf>
    <xf numFmtId="3" fontId="24" fillId="0" borderId="15" xfId="9" quotePrefix="1" applyNumberFormat="1" applyFont="1" applyFill="1" applyBorder="1" applyAlignment="1">
      <alignment horizontal="right" vertical="center" wrapText="1"/>
    </xf>
    <xf numFmtId="3" fontId="25" fillId="0" borderId="15" xfId="9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center"/>
    </xf>
    <xf numFmtId="3" fontId="24" fillId="3" borderId="13" xfId="0" applyNumberFormat="1" applyFont="1" applyFill="1" applyBorder="1" applyAlignment="1">
      <alignment horizontal="center" vertical="center" wrapText="1"/>
    </xf>
    <xf numFmtId="3" fontId="101" fillId="3" borderId="0" xfId="0" applyNumberFormat="1" applyFont="1" applyFill="1" applyAlignment="1">
      <alignment vertical="center"/>
    </xf>
    <xf numFmtId="3" fontId="101" fillId="0" borderId="0" xfId="0" applyNumberFormat="1" applyFont="1" applyFill="1" applyAlignment="1">
      <alignment vertical="center"/>
    </xf>
    <xf numFmtId="3" fontId="104" fillId="3" borderId="0" xfId="0" applyNumberFormat="1" applyFont="1" applyFill="1" applyAlignment="1">
      <alignment vertical="center"/>
    </xf>
    <xf numFmtId="3" fontId="104" fillId="0" borderId="0" xfId="0" applyNumberFormat="1" applyFont="1" applyFill="1" applyAlignment="1">
      <alignment vertical="center"/>
    </xf>
    <xf numFmtId="3" fontId="105" fillId="3" borderId="0" xfId="0" applyNumberFormat="1" applyFont="1" applyFill="1" applyAlignment="1">
      <alignment vertical="center"/>
    </xf>
    <xf numFmtId="3" fontId="105" fillId="0" borderId="0" xfId="0" applyNumberFormat="1" applyFont="1" applyFill="1" applyAlignment="1">
      <alignment vertical="center"/>
    </xf>
    <xf numFmtId="3" fontId="24" fillId="0" borderId="15" xfId="0" applyNumberFormat="1" applyFont="1" applyFill="1" applyBorder="1" applyAlignment="1">
      <alignment horizontal="left" vertical="center"/>
    </xf>
    <xf numFmtId="3" fontId="106" fillId="0" borderId="15" xfId="2" applyNumberFormat="1" applyFont="1" applyFill="1" applyBorder="1" applyAlignment="1">
      <alignment horizontal="center" vertical="center"/>
    </xf>
    <xf numFmtId="1" fontId="106" fillId="0" borderId="15" xfId="2" applyNumberFormat="1" applyFont="1" applyFill="1" applyBorder="1" applyAlignment="1">
      <alignment vertical="center"/>
    </xf>
    <xf numFmtId="3" fontId="40" fillId="0" borderId="0" xfId="2" applyNumberFormat="1" applyFont="1" applyFill="1" applyAlignment="1">
      <alignment vertical="center"/>
    </xf>
    <xf numFmtId="0" fontId="0" fillId="3" borderId="0" xfId="0" applyFont="1" applyFill="1"/>
    <xf numFmtId="3" fontId="107" fillId="3" borderId="15" xfId="0" applyNumberFormat="1" applyFont="1" applyFill="1" applyBorder="1"/>
    <xf numFmtId="3" fontId="78" fillId="5" borderId="15" xfId="0" applyNumberFormat="1" applyFont="1" applyFill="1" applyBorder="1"/>
    <xf numFmtId="3" fontId="78" fillId="3" borderId="15" xfId="0" applyNumberFormat="1" applyFont="1" applyFill="1" applyBorder="1"/>
    <xf numFmtId="3" fontId="24" fillId="0" borderId="52" xfId="0" applyNumberFormat="1" applyFont="1" applyBorder="1" applyAlignment="1">
      <alignment horizontal="right" vertical="top" wrapText="1"/>
    </xf>
    <xf numFmtId="3" fontId="24" fillId="0" borderId="0" xfId="0" applyNumberFormat="1" applyFont="1" applyAlignment="1">
      <alignment horizontal="right" vertical="top" wrapText="1"/>
    </xf>
    <xf numFmtId="3" fontId="24" fillId="0" borderId="16" xfId="0" applyNumberFormat="1" applyFont="1" applyBorder="1" applyAlignment="1">
      <alignment horizontal="right" vertical="top" wrapText="1"/>
    </xf>
    <xf numFmtId="3" fontId="24" fillId="0" borderId="9" xfId="0" applyNumberFormat="1" applyFont="1" applyBorder="1" applyAlignment="1">
      <alignment horizontal="right" vertical="top" wrapText="1"/>
    </xf>
    <xf numFmtId="3" fontId="24" fillId="0" borderId="13" xfId="0" applyNumberFormat="1" applyFont="1" applyBorder="1" applyAlignment="1">
      <alignment horizontal="right" vertical="top" wrapText="1"/>
    </xf>
    <xf numFmtId="3" fontId="25" fillId="3" borderId="9" xfId="7" applyNumberFormat="1" applyFont="1" applyFill="1" applyBorder="1" applyAlignment="1">
      <alignment vertical="center"/>
    </xf>
    <xf numFmtId="3" fontId="24" fillId="3" borderId="58" xfId="7" applyNumberFormat="1" applyFont="1" applyFill="1" applyBorder="1" applyAlignment="1">
      <alignment horizontal="center" vertical="center"/>
    </xf>
    <xf numFmtId="3" fontId="25" fillId="3" borderId="62" xfId="7" applyNumberFormat="1" applyFont="1" applyFill="1" applyBorder="1" applyAlignment="1"/>
    <xf numFmtId="3" fontId="25" fillId="3" borderId="15" xfId="7" applyNumberFormat="1" applyFont="1" applyFill="1" applyBorder="1" applyAlignment="1"/>
    <xf numFmtId="0" fontId="24" fillId="3" borderId="59" xfId="0" applyFont="1" applyFill="1" applyBorder="1" applyAlignment="1">
      <alignment horizontal="left" vertical="top" wrapText="1"/>
    </xf>
    <xf numFmtId="0" fontId="26" fillId="5" borderId="15" xfId="9" applyFont="1" applyFill="1" applyBorder="1" applyAlignment="1">
      <alignment horizontal="center" vertical="center" wrapText="1"/>
    </xf>
    <xf numFmtId="0" fontId="25" fillId="5" borderId="15" xfId="9" applyFont="1" applyFill="1" applyBorder="1" applyAlignment="1">
      <alignment horizontal="center" vertical="center"/>
    </xf>
    <xf numFmtId="0" fontId="26" fillId="5" borderId="15" xfId="9" applyFont="1" applyFill="1" applyBorder="1" applyAlignment="1">
      <alignment horizontal="center" vertical="center"/>
    </xf>
    <xf numFmtId="41" fontId="24" fillId="0" borderId="15" xfId="0" applyNumberFormat="1" applyFont="1" applyBorder="1"/>
    <xf numFmtId="3" fontId="26" fillId="0" borderId="15" xfId="9" applyNumberFormat="1" applyFont="1" applyFill="1" applyBorder="1" applyAlignment="1">
      <alignment vertical="center"/>
    </xf>
    <xf numFmtId="0" fontId="27" fillId="0" borderId="15" xfId="9" applyFont="1" applyFill="1" applyBorder="1" applyAlignment="1">
      <alignment horizontal="left" vertical="center" wrapText="1"/>
    </xf>
    <xf numFmtId="0" fontId="26" fillId="0" borderId="15" xfId="9" applyFont="1" applyFill="1" applyBorder="1" applyAlignment="1">
      <alignment horizontal="center" vertical="center" wrapText="1"/>
    </xf>
    <xf numFmtId="49" fontId="24" fillId="0" borderId="15" xfId="9" applyNumberFormat="1" applyFont="1" applyFill="1" applyBorder="1" applyAlignment="1">
      <alignment horizontal="center" vertical="center"/>
    </xf>
    <xf numFmtId="0" fontId="24" fillId="0" borderId="15" xfId="9" applyFont="1" applyFill="1" applyBorder="1" applyAlignment="1">
      <alignment horizontal="right" vertical="center" wrapText="1"/>
    </xf>
    <xf numFmtId="3" fontId="25" fillId="3" borderId="15" xfId="0" quotePrefix="1" applyNumberFormat="1" applyFont="1" applyFill="1" applyBorder="1" applyAlignment="1">
      <alignment horizontal="left" vertical="center" indent="1"/>
    </xf>
    <xf numFmtId="3" fontId="31" fillId="3" borderId="15" xfId="0" applyNumberFormat="1" applyFont="1" applyFill="1" applyBorder="1" applyAlignment="1">
      <alignment horizontal="right" vertical="center"/>
    </xf>
    <xf numFmtId="3" fontId="24" fillId="3" borderId="15" xfId="0" applyNumberFormat="1" applyFont="1" applyFill="1" applyBorder="1" applyAlignment="1">
      <alignment vertical="center"/>
    </xf>
    <xf numFmtId="3" fontId="25" fillId="12" borderId="107" xfId="0" applyNumberFormat="1" applyFont="1" applyFill="1" applyBorder="1" applyAlignment="1">
      <alignment horizontal="right" vertical="center"/>
    </xf>
    <xf numFmtId="3" fontId="25" fillId="12" borderId="108" xfId="0" applyNumberFormat="1" applyFont="1" applyFill="1" applyBorder="1" applyAlignment="1">
      <alignment horizontal="right" vertical="center"/>
    </xf>
    <xf numFmtId="3" fontId="25" fillId="12" borderId="110" xfId="0" applyNumberFormat="1" applyFont="1" applyFill="1" applyBorder="1" applyAlignment="1">
      <alignment horizontal="right" vertical="center"/>
    </xf>
    <xf numFmtId="3" fontId="46" fillId="12" borderId="112" xfId="2" quotePrefix="1" applyNumberFormat="1" applyFont="1" applyFill="1" applyBorder="1" applyAlignment="1">
      <alignment horizontal="center" vertical="center"/>
    </xf>
    <xf numFmtId="3" fontId="25" fillId="12" borderId="112" xfId="0" applyNumberFormat="1" applyFont="1" applyFill="1" applyBorder="1" applyAlignment="1">
      <alignment horizontal="right" vertical="center"/>
    </xf>
    <xf numFmtId="3" fontId="25" fillId="12" borderId="113" xfId="0" applyNumberFormat="1" applyFont="1" applyFill="1" applyBorder="1" applyAlignment="1">
      <alignment horizontal="right" vertical="center"/>
    </xf>
    <xf numFmtId="3" fontId="24" fillId="3" borderId="13" xfId="0" applyNumberFormat="1" applyFont="1" applyFill="1" applyBorder="1" applyAlignment="1">
      <alignment vertical="center"/>
    </xf>
    <xf numFmtId="3" fontId="24" fillId="3" borderId="13" xfId="0" applyNumberFormat="1" applyFont="1" applyFill="1" applyBorder="1" applyAlignment="1">
      <alignment horizontal="right" vertical="center"/>
    </xf>
    <xf numFmtId="3" fontId="25" fillId="3" borderId="13" xfId="0" applyNumberFormat="1" applyFont="1" applyFill="1" applyBorder="1" applyAlignment="1">
      <alignment horizontal="right" vertical="center"/>
    </xf>
    <xf numFmtId="3" fontId="24" fillId="3" borderId="15" xfId="0" applyNumberFormat="1" applyFont="1" applyFill="1" applyBorder="1" applyAlignment="1">
      <alignment vertical="center" wrapText="1"/>
    </xf>
    <xf numFmtId="3" fontId="24" fillId="3" borderId="15" xfId="3" applyNumberFormat="1" applyFont="1" applyFill="1" applyBorder="1" applyAlignment="1">
      <alignment horizontal="left" vertical="center" wrapText="1"/>
    </xf>
    <xf numFmtId="3" fontId="18" fillId="3" borderId="15" xfId="2" quotePrefix="1" applyNumberFormat="1" applyFont="1" applyFill="1" applyBorder="1" applyAlignment="1">
      <alignment horizontal="left" vertical="center"/>
    </xf>
    <xf numFmtId="3" fontId="24" fillId="0" borderId="13" xfId="0" applyNumberFormat="1" applyFont="1" applyFill="1" applyBorder="1" applyAlignment="1">
      <alignment horizontal="left" vertical="center"/>
    </xf>
    <xf numFmtId="3" fontId="24" fillId="3" borderId="15" xfId="0" applyNumberFormat="1" applyFont="1" applyFill="1" applyBorder="1" applyAlignment="1">
      <alignment horizontal="left" vertical="center" wrapText="1"/>
    </xf>
    <xf numFmtId="3" fontId="24" fillId="3" borderId="15" xfId="2" quotePrefix="1" applyNumberFormat="1" applyFont="1" applyFill="1" applyBorder="1" applyAlignment="1">
      <alignment horizontal="center" vertical="center"/>
    </xf>
    <xf numFmtId="3" fontId="25" fillId="6" borderId="15" xfId="0" applyNumberFormat="1" applyFont="1" applyFill="1" applyBorder="1" applyAlignment="1">
      <alignment horizontal="right" vertical="center"/>
    </xf>
    <xf numFmtId="3" fontId="24" fillId="6" borderId="15" xfId="2" quotePrefix="1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right" vertical="center"/>
    </xf>
    <xf numFmtId="3" fontId="24" fillId="15" borderId="15" xfId="0" applyNumberFormat="1" applyFont="1" applyFill="1" applyBorder="1" applyAlignment="1">
      <alignment horizontal="right" vertical="center"/>
    </xf>
    <xf numFmtId="3" fontId="25" fillId="0" borderId="15" xfId="0" applyNumberFormat="1" applyFont="1" applyFill="1" applyBorder="1" applyAlignment="1">
      <alignment horizontal="right" vertical="center"/>
    </xf>
    <xf numFmtId="3" fontId="24" fillId="0" borderId="15" xfId="2" quotePrefix="1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25" fillId="15" borderId="15" xfId="0" applyNumberFormat="1" applyFont="1" applyFill="1" applyBorder="1" applyAlignment="1">
      <alignment horizontal="right" vertical="center"/>
    </xf>
    <xf numFmtId="3" fontId="24" fillId="6" borderId="15" xfId="0" applyNumberFormat="1" applyFont="1" applyFill="1" applyBorder="1" applyAlignment="1">
      <alignment horizontal="right" vertical="center"/>
    </xf>
    <xf numFmtId="3" fontId="35" fillId="6" borderId="15" xfId="0" applyNumberFormat="1" applyFont="1" applyFill="1" applyBorder="1" applyAlignment="1">
      <alignment horizontal="center" vertical="center"/>
    </xf>
    <xf numFmtId="3" fontId="20" fillId="3" borderId="15" xfId="2" applyNumberFormat="1" applyFont="1" applyFill="1" applyBorder="1" applyAlignment="1">
      <alignment horizontal="left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49" fontId="53" fillId="0" borderId="0" xfId="0" applyNumberFormat="1" applyFont="1" applyFill="1" applyAlignment="1">
      <alignment vertical="center" shrinkToFit="1"/>
    </xf>
    <xf numFmtId="164" fontId="53" fillId="0" borderId="0" xfId="0" applyNumberFormat="1" applyFont="1" applyFill="1" applyAlignment="1">
      <alignment vertical="center" shrinkToFit="1"/>
    </xf>
    <xf numFmtId="3" fontId="53" fillId="0" borderId="0" xfId="0" applyNumberFormat="1" applyFont="1" applyFill="1" applyAlignment="1">
      <alignment horizontal="right" vertical="center" shrinkToFit="1"/>
    </xf>
    <xf numFmtId="3" fontId="18" fillId="3" borderId="16" xfId="2" applyNumberFormat="1" applyFont="1" applyFill="1" applyBorder="1" applyAlignment="1">
      <alignment horizontal="left" wrapText="1"/>
    </xf>
    <xf numFmtId="3" fontId="20" fillId="3" borderId="16" xfId="2" applyNumberFormat="1" applyFont="1" applyFill="1" applyBorder="1" applyAlignment="1">
      <alignment horizontal="right" vertical="center"/>
    </xf>
    <xf numFmtId="3" fontId="24" fillId="0" borderId="0" xfId="2" applyNumberFormat="1" applyFont="1" applyFill="1" applyAlignment="1">
      <alignment vertical="center"/>
    </xf>
    <xf numFmtId="3" fontId="20" fillId="3" borderId="16" xfId="2" applyNumberFormat="1" applyFont="1" applyFill="1" applyBorder="1" applyAlignment="1">
      <alignment vertical="center"/>
    </xf>
    <xf numFmtId="3" fontId="20" fillId="3" borderId="15" xfId="2" applyNumberFormat="1" applyFont="1" applyFill="1" applyBorder="1" applyAlignment="1">
      <alignment vertical="center" wrapText="1"/>
    </xf>
    <xf numFmtId="3" fontId="18" fillId="3" borderId="15" xfId="2" applyNumberFormat="1" applyFont="1" applyFill="1" applyBorder="1" applyAlignment="1">
      <alignment horizontal="left" wrapText="1"/>
    </xf>
    <xf numFmtId="3" fontId="20" fillId="3" borderId="58" xfId="2" applyNumberFormat="1" applyFont="1" applyFill="1" applyBorder="1" applyAlignment="1">
      <alignment horizontal="left" wrapText="1"/>
    </xf>
    <xf numFmtId="2" fontId="20" fillId="3" borderId="20" xfId="2" applyNumberFormat="1" applyFont="1" applyFill="1" applyBorder="1" applyAlignment="1">
      <alignment horizontal="right" vertical="center"/>
    </xf>
    <xf numFmtId="2" fontId="20" fillId="3" borderId="54" xfId="2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justify" vertical="center" shrinkToFit="1"/>
    </xf>
    <xf numFmtId="3" fontId="12" fillId="0" borderId="0" xfId="2" applyNumberFormat="1" applyFont="1" applyFill="1" applyAlignment="1">
      <alignment vertical="center"/>
    </xf>
    <xf numFmtId="3" fontId="95" fillId="3" borderId="32" xfId="2" applyNumberFormat="1" applyFont="1" applyFill="1" applyBorder="1" applyAlignment="1">
      <alignment horizontal="center" vertical="center"/>
    </xf>
    <xf numFmtId="1" fontId="95" fillId="3" borderId="13" xfId="2" applyNumberFormat="1" applyFont="1" applyFill="1" applyBorder="1" applyAlignment="1">
      <alignment vertical="center"/>
    </xf>
    <xf numFmtId="3" fontId="18" fillId="3" borderId="16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vertical="center"/>
    </xf>
    <xf numFmtId="4" fontId="20" fillId="3" borderId="54" xfId="2" applyNumberFormat="1" applyFont="1" applyFill="1" applyBorder="1" applyAlignment="1">
      <alignment horizontal="right" vertical="center"/>
    </xf>
    <xf numFmtId="3" fontId="102" fillId="0" borderId="15" xfId="2" applyNumberFormat="1" applyFont="1" applyFill="1" applyBorder="1" applyAlignment="1">
      <alignment horizontal="center" vertical="center"/>
    </xf>
    <xf numFmtId="1" fontId="102" fillId="0" borderId="15" xfId="2" applyNumberFormat="1" applyFont="1" applyFill="1" applyBorder="1" applyAlignment="1">
      <alignment vertical="center"/>
    </xf>
    <xf numFmtId="1" fontId="102" fillId="0" borderId="15" xfId="2" applyNumberFormat="1" applyFont="1" applyFill="1" applyBorder="1" applyAlignment="1">
      <alignment horizontal="right" vertical="center"/>
    </xf>
    <xf numFmtId="1" fontId="102" fillId="0" borderId="16" xfId="2" applyNumberFormat="1" applyFont="1" applyFill="1" applyBorder="1" applyAlignment="1">
      <alignment horizontal="right" vertical="center"/>
    </xf>
    <xf numFmtId="4" fontId="20" fillId="3" borderId="53" xfId="2" applyNumberFormat="1" applyFont="1" applyFill="1" applyBorder="1" applyAlignment="1">
      <alignment horizontal="right" vertical="center"/>
    </xf>
    <xf numFmtId="3" fontId="18" fillId="3" borderId="15" xfId="2" applyNumberFormat="1" applyFont="1" applyFill="1" applyBorder="1" applyAlignment="1">
      <alignment horizontal="right" vertical="center"/>
    </xf>
    <xf numFmtId="3" fontId="18" fillId="3" borderId="15" xfId="2" applyNumberFormat="1" applyFont="1" applyFill="1" applyBorder="1" applyAlignment="1">
      <alignment vertical="center"/>
    </xf>
    <xf numFmtId="3" fontId="20" fillId="3" borderId="15" xfId="2" applyNumberFormat="1" applyFont="1" applyFill="1" applyBorder="1" applyAlignment="1">
      <alignment horizontal="right" vertical="center"/>
    </xf>
    <xf numFmtId="3" fontId="20" fillId="3" borderId="15" xfId="2" applyNumberFormat="1" applyFont="1" applyFill="1" applyBorder="1" applyAlignment="1">
      <alignment vertical="center"/>
    </xf>
    <xf numFmtId="3" fontId="20" fillId="3" borderId="15" xfId="2" applyNumberFormat="1" applyFont="1" applyFill="1" applyBorder="1" applyAlignment="1">
      <alignment horizontal="left" wrapText="1"/>
    </xf>
    <xf numFmtId="3" fontId="20" fillId="3" borderId="9" xfId="2" applyNumberFormat="1" applyFont="1" applyFill="1" applyBorder="1" applyAlignment="1">
      <alignment horizontal="right" vertical="center"/>
    </xf>
    <xf numFmtId="3" fontId="46" fillId="3" borderId="15" xfId="2" quotePrefix="1" applyNumberFormat="1" applyFont="1" applyFill="1" applyBorder="1" applyAlignment="1">
      <alignment horizontal="left" vertical="center"/>
    </xf>
    <xf numFmtId="3" fontId="20" fillId="3" borderId="15" xfId="2" applyNumberFormat="1" applyFont="1" applyFill="1" applyBorder="1" applyAlignment="1">
      <alignment vertical="center" shrinkToFit="1"/>
    </xf>
    <xf numFmtId="1" fontId="102" fillId="3" borderId="13" xfId="2" applyNumberFormat="1" applyFont="1" applyFill="1" applyBorder="1" applyAlignment="1">
      <alignment vertical="center"/>
    </xf>
    <xf numFmtId="1" fontId="102" fillId="3" borderId="15" xfId="2" applyNumberFormat="1" applyFont="1" applyFill="1" applyBorder="1" applyAlignment="1">
      <alignment vertical="center"/>
    </xf>
    <xf numFmtId="3" fontId="9" fillId="0" borderId="15" xfId="2" applyNumberFormat="1" applyFont="1" applyFill="1" applyBorder="1" applyAlignment="1">
      <alignment vertical="center"/>
    </xf>
    <xf numFmtId="3" fontId="102" fillId="3" borderId="62" xfId="2" applyNumberFormat="1" applyFont="1" applyFill="1" applyBorder="1" applyAlignment="1">
      <alignment horizontal="center" vertical="center"/>
    </xf>
    <xf numFmtId="0" fontId="46" fillId="3" borderId="15" xfId="0" applyFont="1" applyFill="1" applyBorder="1"/>
    <xf numFmtId="3" fontId="18" fillId="3" borderId="15" xfId="2" applyNumberFormat="1" applyFont="1" applyFill="1" applyBorder="1" applyAlignment="1">
      <alignment horizontal="left"/>
    </xf>
    <xf numFmtId="1" fontId="102" fillId="3" borderId="15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vertical="center" shrinkToFit="1"/>
    </xf>
    <xf numFmtId="3" fontId="46" fillId="3" borderId="9" xfId="2" quotePrefix="1" applyNumberFormat="1" applyFont="1" applyFill="1" applyBorder="1" applyAlignment="1">
      <alignment horizontal="center" vertical="center"/>
    </xf>
    <xf numFmtId="3" fontId="102" fillId="3" borderId="60" xfId="2" applyNumberFormat="1" applyFont="1" applyFill="1" applyBorder="1" applyAlignment="1">
      <alignment horizontal="center" vertical="center"/>
    </xf>
    <xf numFmtId="3" fontId="102" fillId="3" borderId="15" xfId="2" applyNumberFormat="1" applyFont="1" applyFill="1" applyBorder="1" applyAlignment="1">
      <alignment horizontal="center" vertical="center"/>
    </xf>
    <xf numFmtId="3" fontId="46" fillId="3" borderId="15" xfId="2" applyNumberFormat="1" applyFont="1" applyFill="1" applyBorder="1" applyAlignment="1">
      <alignment vertical="center" shrinkToFit="1"/>
    </xf>
    <xf numFmtId="3" fontId="18" fillId="3" borderId="72" xfId="2" applyNumberFormat="1" applyFont="1" applyFill="1" applyBorder="1" applyAlignment="1">
      <alignment horizontal="right" vertical="center"/>
    </xf>
    <xf numFmtId="3" fontId="18" fillId="3" borderId="59" xfId="2" applyNumberFormat="1" applyFont="1" applyFill="1" applyBorder="1" applyAlignment="1">
      <alignment horizontal="right" vertical="center"/>
    </xf>
    <xf numFmtId="3" fontId="20" fillId="3" borderId="62" xfId="2" applyNumberFormat="1" applyFont="1" applyFill="1" applyBorder="1" applyAlignment="1">
      <alignment horizontal="right" vertical="center"/>
    </xf>
    <xf numFmtId="164" fontId="18" fillId="3" borderId="16" xfId="2" applyNumberFormat="1" applyFont="1" applyFill="1" applyBorder="1" applyAlignment="1">
      <alignment horizontal="right" vertical="center"/>
    </xf>
    <xf numFmtId="3" fontId="102" fillId="3" borderId="74" xfId="2" applyNumberFormat="1" applyFont="1" applyFill="1" applyBorder="1" applyAlignment="1">
      <alignment horizontal="center" vertical="center"/>
    </xf>
    <xf numFmtId="3" fontId="20" fillId="3" borderId="74" xfId="2" applyNumberFormat="1" applyFont="1" applyFill="1" applyBorder="1" applyAlignment="1">
      <alignment horizontal="left" wrapText="1"/>
    </xf>
    <xf numFmtId="3" fontId="102" fillId="3" borderId="58" xfId="2" applyNumberFormat="1" applyFont="1" applyFill="1" applyBorder="1" applyAlignment="1">
      <alignment horizontal="center" vertical="center"/>
    </xf>
    <xf numFmtId="3" fontId="102" fillId="3" borderId="0" xfId="2" applyNumberFormat="1" applyFont="1" applyFill="1" applyBorder="1" applyAlignment="1">
      <alignment horizontal="center" vertical="center"/>
    </xf>
    <xf numFmtId="3" fontId="102" fillId="3" borderId="9" xfId="2" applyNumberFormat="1" applyFont="1" applyFill="1" applyBorder="1" applyAlignment="1">
      <alignment horizontal="center" vertical="center"/>
    </xf>
    <xf numFmtId="3" fontId="11" fillId="12" borderId="82" xfId="2" applyNumberFormat="1" applyFont="1" applyFill="1" applyBorder="1" applyAlignment="1">
      <alignment horizontal="center" vertical="center"/>
    </xf>
    <xf numFmtId="3" fontId="20" fillId="12" borderId="82" xfId="3" applyNumberFormat="1" applyFont="1" applyFill="1" applyBorder="1" applyAlignment="1">
      <alignment vertical="center" shrinkToFit="1"/>
    </xf>
    <xf numFmtId="3" fontId="49" fillId="12" borderId="82" xfId="2" applyNumberFormat="1" applyFont="1" applyFill="1" applyBorder="1" applyAlignment="1">
      <alignment horizontal="right" vertical="center"/>
    </xf>
    <xf numFmtId="4" fontId="49" fillId="12" borderId="82" xfId="2" applyNumberFormat="1" applyFont="1" applyFill="1" applyBorder="1" applyAlignment="1">
      <alignment horizontal="right" vertical="center"/>
    </xf>
    <xf numFmtId="3" fontId="49" fillId="12" borderId="82" xfId="2" quotePrefix="1" applyNumberFormat="1" applyFont="1" applyFill="1" applyBorder="1" applyAlignment="1">
      <alignment horizontal="center" vertical="center"/>
    </xf>
    <xf numFmtId="1" fontId="48" fillId="12" borderId="82" xfId="2" applyNumberFormat="1" applyFont="1" applyFill="1" applyBorder="1" applyAlignment="1">
      <alignment horizontal="right" vertical="center"/>
    </xf>
    <xf numFmtId="3" fontId="20" fillId="12" borderId="82" xfId="2" applyNumberFormat="1" applyFont="1" applyFill="1" applyBorder="1" applyAlignment="1">
      <alignment horizontal="right" vertical="center"/>
    </xf>
    <xf numFmtId="4" fontId="20" fillId="12" borderId="82" xfId="2" applyNumberFormat="1" applyFont="1" applyFill="1" applyBorder="1" applyAlignment="1">
      <alignment horizontal="right" vertical="center"/>
    </xf>
    <xf numFmtId="3" fontId="49" fillId="12" borderId="82" xfId="2" applyNumberFormat="1" applyFont="1" applyFill="1" applyBorder="1" applyAlignment="1">
      <alignment horizontal="left"/>
    </xf>
    <xf numFmtId="3" fontId="20" fillId="12" borderId="82" xfId="2" applyNumberFormat="1" applyFont="1" applyFill="1" applyBorder="1" applyAlignment="1">
      <alignment vertical="center"/>
    </xf>
    <xf numFmtId="1" fontId="102" fillId="3" borderId="13" xfId="2" applyNumberFormat="1" applyFont="1" applyFill="1" applyBorder="1" applyAlignment="1">
      <alignment horizontal="right" vertical="center"/>
    </xf>
    <xf numFmtId="3" fontId="20" fillId="3" borderId="9" xfId="2" applyNumberFormat="1" applyFont="1" applyFill="1" applyBorder="1" applyAlignment="1">
      <alignment horizontal="left" wrapText="1"/>
    </xf>
    <xf numFmtId="1" fontId="103" fillId="3" borderId="52" xfId="2" applyNumberFormat="1" applyFont="1" applyFill="1" applyBorder="1" applyAlignment="1">
      <alignment horizontal="right" vertical="center"/>
    </xf>
    <xf numFmtId="3" fontId="9" fillId="3" borderId="15" xfId="2" applyNumberFormat="1" applyFont="1" applyFill="1" applyBorder="1" applyAlignment="1">
      <alignment vertical="center"/>
    </xf>
    <xf numFmtId="1" fontId="103" fillId="3" borderId="13" xfId="2" applyNumberFormat="1" applyFont="1" applyFill="1" applyBorder="1" applyAlignment="1">
      <alignment horizontal="right" vertical="center"/>
    </xf>
    <xf numFmtId="1" fontId="103" fillId="3" borderId="15" xfId="2" applyNumberFormat="1" applyFont="1" applyFill="1" applyBorder="1" applyAlignment="1">
      <alignment horizontal="right" vertical="center"/>
    </xf>
    <xf numFmtId="3" fontId="46" fillId="3" borderId="15" xfId="2" applyNumberFormat="1" applyFont="1" applyFill="1" applyBorder="1" applyAlignment="1">
      <alignment horizontal="left"/>
    </xf>
    <xf numFmtId="3" fontId="18" fillId="0" borderId="15" xfId="2" applyNumberFormat="1" applyFont="1" applyFill="1" applyBorder="1" applyAlignment="1">
      <alignment vertical="center" shrinkToFit="1"/>
    </xf>
    <xf numFmtId="3" fontId="46" fillId="0" borderId="15" xfId="2" applyNumberFormat="1" applyFont="1" applyFill="1" applyBorder="1" applyAlignment="1">
      <alignment vertical="center" shrinkToFit="1"/>
    </xf>
    <xf numFmtId="3" fontId="18" fillId="0" borderId="15" xfId="2" applyNumberFormat="1" applyFont="1" applyFill="1" applyBorder="1" applyAlignment="1">
      <alignment vertical="center"/>
    </xf>
    <xf numFmtId="3" fontId="20" fillId="0" borderId="0" xfId="2" applyNumberFormat="1" applyFont="1" applyFill="1" applyAlignment="1">
      <alignment vertical="center"/>
    </xf>
    <xf numFmtId="3" fontId="18" fillId="0" borderId="16" xfId="2" applyNumberFormat="1" applyFont="1" applyFill="1" applyBorder="1" applyAlignment="1">
      <alignment vertical="center"/>
    </xf>
    <xf numFmtId="3" fontId="20" fillId="6" borderId="82" xfId="2" applyNumberFormat="1" applyFont="1" applyFill="1" applyBorder="1" applyAlignment="1">
      <alignment horizontal="right" vertical="center"/>
    </xf>
    <xf numFmtId="3" fontId="49" fillId="6" borderId="82" xfId="2" applyNumberFormat="1" applyFont="1" applyFill="1" applyBorder="1" applyAlignment="1">
      <alignment horizontal="right" vertical="center"/>
    </xf>
    <xf numFmtId="3" fontId="20" fillId="3" borderId="79" xfId="2" applyNumberFormat="1" applyFont="1" applyFill="1" applyBorder="1" applyAlignment="1">
      <alignment horizontal="center" vertical="center"/>
    </xf>
    <xf numFmtId="3" fontId="20" fillId="3" borderId="82" xfId="2" applyNumberFormat="1" applyFont="1" applyFill="1" applyBorder="1" applyAlignment="1">
      <alignment horizontal="center" vertical="center"/>
    </xf>
    <xf numFmtId="3" fontId="20" fillId="3" borderId="88" xfId="2" applyNumberFormat="1" applyFont="1" applyFill="1" applyBorder="1" applyAlignment="1">
      <alignment horizontal="center" vertical="center"/>
    </xf>
    <xf numFmtId="3" fontId="20" fillId="3" borderId="88" xfId="2" applyNumberFormat="1" applyFont="1" applyFill="1" applyBorder="1" applyAlignment="1">
      <alignment horizontal="center" vertical="center" wrapText="1"/>
    </xf>
    <xf numFmtId="3" fontId="20" fillId="3" borderId="83" xfId="2" applyNumberFormat="1" applyFont="1" applyFill="1" applyBorder="1" applyAlignment="1">
      <alignment horizontal="center" vertical="center"/>
    </xf>
    <xf numFmtId="0" fontId="15" fillId="0" borderId="127" xfId="0" applyFont="1" applyFill="1" applyBorder="1" applyAlignment="1">
      <alignment vertical="center" shrinkToFit="1"/>
    </xf>
    <xf numFmtId="0" fontId="16" fillId="3" borderId="127" xfId="0" applyFont="1" applyFill="1" applyBorder="1" applyAlignment="1">
      <alignment horizontal="justify" vertical="center" shrinkToFit="1"/>
    </xf>
    <xf numFmtId="3" fontId="108" fillId="3" borderId="127" xfId="0" applyNumberFormat="1" applyFont="1" applyFill="1" applyBorder="1" applyAlignment="1">
      <alignment horizontal="right" vertical="center" shrinkToFit="1"/>
    </xf>
    <xf numFmtId="3" fontId="109" fillId="3" borderId="127" xfId="0" applyNumberFormat="1" applyFont="1" applyFill="1" applyBorder="1" applyAlignment="1">
      <alignment horizontal="right" vertical="center" shrinkToFit="1"/>
    </xf>
    <xf numFmtId="3" fontId="89" fillId="3" borderId="127" xfId="0" applyNumberFormat="1" applyFont="1" applyFill="1" applyBorder="1" applyAlignment="1">
      <alignment horizontal="right" vertical="center" shrinkToFit="1"/>
    </xf>
    <xf numFmtId="164" fontId="89" fillId="3" borderId="127" xfId="0" applyNumberFormat="1" applyFont="1" applyFill="1" applyBorder="1"/>
    <xf numFmtId="3" fontId="108" fillId="3" borderId="128" xfId="0" applyNumberFormat="1" applyFont="1" applyFill="1" applyBorder="1" applyAlignment="1">
      <alignment horizontal="right" vertical="center" shrinkToFit="1"/>
    </xf>
    <xf numFmtId="0" fontId="55" fillId="3" borderId="127" xfId="0" applyFont="1" applyFill="1" applyBorder="1" applyAlignment="1">
      <alignment vertical="center" shrinkToFit="1"/>
    </xf>
    <xf numFmtId="3" fontId="113" fillId="3" borderId="127" xfId="0" applyNumberFormat="1" applyFont="1" applyFill="1" applyBorder="1" applyAlignment="1">
      <alignment horizontal="right" vertical="center" shrinkToFit="1"/>
    </xf>
    <xf numFmtId="3" fontId="89" fillId="3" borderId="127" xfId="0" applyNumberFormat="1" applyFont="1" applyFill="1" applyBorder="1"/>
    <xf numFmtId="0" fontId="12" fillId="0" borderId="127" xfId="0" applyFont="1" applyFill="1" applyBorder="1" applyAlignment="1">
      <alignment vertical="center" shrinkToFit="1"/>
    </xf>
    <xf numFmtId="0" fontId="12" fillId="3" borderId="127" xfId="0" applyFont="1" applyFill="1" applyBorder="1" applyAlignment="1">
      <alignment vertical="center" shrinkToFit="1"/>
    </xf>
    <xf numFmtId="0" fontId="15" fillId="3" borderId="127" xfId="0" applyFont="1" applyFill="1" applyBorder="1" applyAlignment="1">
      <alignment vertical="center" shrinkToFit="1"/>
    </xf>
    <xf numFmtId="0" fontId="32" fillId="3" borderId="127" xfId="0" applyFont="1" applyFill="1" applyBorder="1" applyAlignment="1">
      <alignment vertical="center" shrinkToFit="1"/>
    </xf>
    <xf numFmtId="0" fontId="32" fillId="0" borderId="127" xfId="0" applyFont="1" applyFill="1" applyBorder="1" applyAlignment="1">
      <alignment vertical="center" shrinkToFit="1"/>
    </xf>
    <xf numFmtId="3" fontId="113" fillId="3" borderId="127" xfId="0" applyNumberFormat="1" applyFont="1" applyFill="1" applyBorder="1" applyAlignment="1">
      <alignment vertical="center" shrinkToFit="1"/>
    </xf>
    <xf numFmtId="3" fontId="58" fillId="3" borderId="0" xfId="2" applyNumberFormat="1" applyFont="1" applyFill="1" applyAlignment="1">
      <alignment vertical="center"/>
    </xf>
    <xf numFmtId="3" fontId="20" fillId="7" borderId="5" xfId="2" applyNumberFormat="1" applyFont="1" applyFill="1" applyBorder="1" applyAlignment="1">
      <alignment horizontal="center" vertical="center"/>
    </xf>
    <xf numFmtId="3" fontId="20" fillId="7" borderId="35" xfId="2" applyNumberFormat="1" applyFont="1" applyFill="1" applyBorder="1" applyAlignment="1">
      <alignment horizontal="center" vertical="center"/>
    </xf>
    <xf numFmtId="3" fontId="20" fillId="3" borderId="10" xfId="2" applyNumberFormat="1" applyFont="1" applyFill="1" applyBorder="1" applyAlignment="1">
      <alignment horizontal="center" vertical="center"/>
    </xf>
    <xf numFmtId="3" fontId="20" fillId="3" borderId="15" xfId="2" applyNumberFormat="1" applyFont="1" applyFill="1" applyBorder="1" applyAlignment="1">
      <alignment horizontal="center" vertical="center"/>
    </xf>
    <xf numFmtId="3" fontId="18" fillId="3" borderId="9" xfId="2" applyNumberFormat="1" applyFont="1" applyFill="1" applyBorder="1" applyAlignment="1">
      <alignment horizontal="center" vertical="center"/>
    </xf>
    <xf numFmtId="41" fontId="18" fillId="3" borderId="9" xfId="2" applyNumberFormat="1" applyFont="1" applyFill="1" applyBorder="1" applyAlignment="1">
      <alignment horizontal="center" vertical="center" wrapText="1"/>
    </xf>
    <xf numFmtId="3" fontId="18" fillId="3" borderId="13" xfId="2" applyNumberFormat="1" applyFont="1" applyFill="1" applyBorder="1" applyAlignment="1">
      <alignment horizontal="center" vertical="center"/>
    </xf>
    <xf numFmtId="3" fontId="18" fillId="3" borderId="9" xfId="2" applyNumberFormat="1" applyFont="1" applyFill="1" applyBorder="1" applyAlignment="1">
      <alignment horizontal="center" vertical="center" wrapText="1"/>
    </xf>
    <xf numFmtId="3" fontId="18" fillId="3" borderId="16" xfId="2" applyNumberFormat="1" applyFont="1" applyFill="1" applyBorder="1" applyAlignment="1">
      <alignment horizontal="center" vertical="center"/>
    </xf>
    <xf numFmtId="41" fontId="18" fillId="3" borderId="16" xfId="2" applyNumberFormat="1" applyFont="1" applyFill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/>
    </xf>
    <xf numFmtId="3" fontId="18" fillId="3" borderId="16" xfId="2" applyNumberFormat="1" applyFont="1" applyFill="1" applyBorder="1" applyAlignment="1">
      <alignment horizontal="center" vertical="center" wrapText="1"/>
    </xf>
    <xf numFmtId="164" fontId="18" fillId="3" borderId="15" xfId="0" applyNumberFormat="1" applyFont="1" applyFill="1" applyBorder="1" applyAlignment="1">
      <alignment horizontal="center" vertical="center"/>
    </xf>
    <xf numFmtId="167" fontId="18" fillId="3" borderId="16" xfId="2" applyNumberFormat="1" applyFont="1" applyFill="1" applyBorder="1" applyAlignment="1">
      <alignment horizontal="center" vertical="center" wrapText="1"/>
    </xf>
    <xf numFmtId="3" fontId="20" fillId="3" borderId="16" xfId="2" applyNumberFormat="1" applyFont="1" applyFill="1" applyBorder="1" applyAlignment="1">
      <alignment horizontal="center" vertical="center" wrapText="1"/>
    </xf>
    <xf numFmtId="167" fontId="20" fillId="3" borderId="15" xfId="2" applyNumberFormat="1" applyFont="1" applyFill="1" applyBorder="1" applyAlignment="1">
      <alignment horizontal="center" vertical="center" wrapText="1"/>
    </xf>
    <xf numFmtId="3" fontId="20" fillId="3" borderId="15" xfId="2" applyNumberFormat="1" applyFont="1" applyFill="1" applyBorder="1" applyAlignment="1">
      <alignment horizontal="center" vertical="center" wrapText="1"/>
    </xf>
    <xf numFmtId="3" fontId="20" fillId="3" borderId="5" xfId="2" applyNumberFormat="1" applyFont="1" applyFill="1" applyBorder="1" applyAlignment="1">
      <alignment horizontal="center" vertical="center"/>
    </xf>
    <xf numFmtId="41" fontId="20" fillId="3" borderId="5" xfId="2" applyNumberFormat="1" applyFont="1" applyFill="1" applyBorder="1" applyAlignment="1">
      <alignment horizontal="center" vertical="center" wrapText="1"/>
    </xf>
    <xf numFmtId="3" fontId="20" fillId="3" borderId="5" xfId="2" applyNumberFormat="1" applyFont="1" applyFill="1" applyBorder="1" applyAlignment="1">
      <alignment horizontal="center" vertical="center" wrapText="1"/>
    </xf>
    <xf numFmtId="3" fontId="20" fillId="3" borderId="13" xfId="2" applyNumberFormat="1" applyFont="1" applyFill="1" applyBorder="1" applyAlignment="1">
      <alignment horizontal="center" vertical="center"/>
    </xf>
    <xf numFmtId="41" fontId="20" fillId="3" borderId="13" xfId="2" applyNumberFormat="1" applyFont="1" applyFill="1" applyBorder="1" applyAlignment="1">
      <alignment horizontal="center" vertical="center" wrapText="1"/>
    </xf>
    <xf numFmtId="3" fontId="20" fillId="3" borderId="13" xfId="2" applyNumberFormat="1" applyFont="1" applyFill="1" applyBorder="1" applyAlignment="1">
      <alignment horizontal="center" vertical="center" wrapText="1"/>
    </xf>
    <xf numFmtId="3" fontId="49" fillId="3" borderId="13" xfId="2" applyNumberFormat="1" applyFont="1" applyFill="1" applyBorder="1" applyAlignment="1">
      <alignment horizontal="center" vertical="center"/>
    </xf>
    <xf numFmtId="41" fontId="49" fillId="3" borderId="13" xfId="2" applyNumberFormat="1" applyFont="1" applyFill="1" applyBorder="1" applyAlignment="1">
      <alignment horizontal="center" vertical="center" wrapText="1"/>
    </xf>
    <xf numFmtId="41" fontId="46" fillId="3" borderId="13" xfId="2" applyNumberFormat="1" applyFont="1" applyFill="1" applyBorder="1" applyAlignment="1">
      <alignment horizontal="center" vertical="center" wrapText="1"/>
    </xf>
    <xf numFmtId="3" fontId="49" fillId="3" borderId="14" xfId="2" applyNumberFormat="1" applyFont="1" applyFill="1" applyBorder="1" applyAlignment="1">
      <alignment horizontal="center" vertical="center"/>
    </xf>
    <xf numFmtId="41" fontId="46" fillId="3" borderId="14" xfId="2" applyNumberFormat="1" applyFont="1" applyFill="1" applyBorder="1" applyAlignment="1">
      <alignment horizontal="center" vertical="center" wrapText="1"/>
    </xf>
    <xf numFmtId="3" fontId="20" fillId="3" borderId="14" xfId="2" applyNumberFormat="1" applyFont="1" applyFill="1" applyBorder="1" applyAlignment="1">
      <alignment horizontal="center" vertical="center"/>
    </xf>
    <xf numFmtId="3" fontId="20" fillId="3" borderId="14" xfId="2" applyNumberFormat="1" applyFont="1" applyFill="1" applyBorder="1" applyAlignment="1">
      <alignment horizontal="center" vertical="center" wrapText="1"/>
    </xf>
    <xf numFmtId="3" fontId="49" fillId="3" borderId="12" xfId="2" applyNumberFormat="1" applyFont="1" applyFill="1" applyBorder="1" applyAlignment="1">
      <alignment horizontal="center" vertical="center"/>
    </xf>
    <xf numFmtId="41" fontId="46" fillId="3" borderId="12" xfId="2" applyNumberFormat="1" applyFont="1" applyFill="1" applyBorder="1" applyAlignment="1">
      <alignment horizontal="center" vertical="center" wrapText="1"/>
    </xf>
    <xf numFmtId="3" fontId="20" fillId="3" borderId="12" xfId="2" applyNumberFormat="1" applyFont="1" applyFill="1" applyBorder="1" applyAlignment="1">
      <alignment horizontal="center" vertical="center"/>
    </xf>
    <xf numFmtId="3" fontId="20" fillId="3" borderId="12" xfId="2" applyNumberFormat="1" applyFont="1" applyFill="1" applyBorder="1" applyAlignment="1">
      <alignment horizontal="center" vertical="center" wrapText="1"/>
    </xf>
    <xf numFmtId="3" fontId="49" fillId="3" borderId="5" xfId="2" applyNumberFormat="1" applyFont="1" applyFill="1" applyBorder="1" applyAlignment="1">
      <alignment horizontal="center" vertical="center"/>
    </xf>
    <xf numFmtId="41" fontId="46" fillId="3" borderId="5" xfId="2" applyNumberFormat="1" applyFont="1" applyFill="1" applyBorder="1" applyAlignment="1">
      <alignment horizontal="center" vertical="center" wrapText="1"/>
    </xf>
    <xf numFmtId="41" fontId="20" fillId="3" borderId="15" xfId="2" applyNumberFormat="1" applyFont="1" applyFill="1" applyBorder="1" applyAlignment="1">
      <alignment horizontal="center" vertical="center"/>
    </xf>
    <xf numFmtId="41" fontId="20" fillId="3" borderId="14" xfId="2" applyNumberFormat="1" applyFont="1" applyFill="1" applyBorder="1" applyAlignment="1">
      <alignment horizontal="center" vertical="center"/>
    </xf>
    <xf numFmtId="41" fontId="20" fillId="3" borderId="15" xfId="2" applyNumberFormat="1" applyFont="1" applyFill="1" applyBorder="1" applyAlignment="1">
      <alignment horizontal="center" vertical="center" wrapText="1"/>
    </xf>
    <xf numFmtId="3" fontId="18" fillId="3" borderId="15" xfId="2" applyNumberFormat="1" applyFont="1" applyFill="1" applyBorder="1" applyAlignment="1">
      <alignment horizontal="center" vertical="center" wrapText="1"/>
    </xf>
    <xf numFmtId="3" fontId="20" fillId="3" borderId="16" xfId="2" applyNumberFormat="1" applyFont="1" applyFill="1" applyBorder="1" applyAlignment="1">
      <alignment horizontal="center" vertical="center"/>
    </xf>
    <xf numFmtId="3" fontId="48" fillId="6" borderId="69" xfId="2" applyNumberFormat="1" applyFont="1" applyFill="1" applyBorder="1" applyAlignment="1">
      <alignment vertical="center"/>
    </xf>
    <xf numFmtId="3" fontId="28" fillId="6" borderId="82" xfId="2" applyNumberFormat="1" applyFont="1" applyFill="1" applyBorder="1" applyAlignment="1">
      <alignment vertical="center"/>
    </xf>
    <xf numFmtId="3" fontId="46" fillId="6" borderId="82" xfId="2" applyNumberFormat="1" applyFont="1" applyFill="1" applyBorder="1" applyAlignment="1">
      <alignment horizontal="right" vertical="center"/>
    </xf>
    <xf numFmtId="3" fontId="18" fillId="0" borderId="0" xfId="2" applyNumberFormat="1" applyFont="1" applyFill="1" applyAlignment="1">
      <alignment vertical="center"/>
    </xf>
    <xf numFmtId="3" fontId="18" fillId="10" borderId="16" xfId="2" applyNumberFormat="1" applyFont="1" applyFill="1" applyBorder="1" applyAlignment="1">
      <alignment horizontal="right" vertical="center"/>
    </xf>
    <xf numFmtId="3" fontId="18" fillId="10" borderId="16" xfId="2" applyNumberFormat="1" applyFont="1" applyFill="1" applyBorder="1" applyAlignment="1">
      <alignment vertical="center"/>
    </xf>
    <xf numFmtId="3" fontId="18" fillId="3" borderId="9" xfId="2" applyNumberFormat="1" applyFont="1" applyFill="1" applyBorder="1" applyAlignment="1">
      <alignment horizontal="right" vertical="center"/>
    </xf>
    <xf numFmtId="3" fontId="18" fillId="3" borderId="9" xfId="2" applyNumberFormat="1" applyFont="1" applyFill="1" applyBorder="1" applyAlignment="1">
      <alignment vertical="center"/>
    </xf>
    <xf numFmtId="3" fontId="20" fillId="12" borderId="15" xfId="2" applyNumberFormat="1" applyFont="1" applyFill="1" applyBorder="1" applyAlignment="1">
      <alignment horizontal="right" vertical="center"/>
    </xf>
    <xf numFmtId="3" fontId="20" fillId="12" borderId="15" xfId="2" applyNumberFormat="1" applyFont="1" applyFill="1" applyBorder="1" applyAlignment="1">
      <alignment vertical="center"/>
    </xf>
    <xf numFmtId="3" fontId="58" fillId="0" borderId="15" xfId="2" applyNumberFormat="1" applyFont="1" applyFill="1" applyBorder="1" applyAlignment="1">
      <alignment vertical="center"/>
    </xf>
    <xf numFmtId="3" fontId="58" fillId="0" borderId="0" xfId="2" applyNumberFormat="1" applyFont="1" applyFill="1" applyAlignment="1">
      <alignment vertical="center"/>
    </xf>
    <xf numFmtId="3" fontId="18" fillId="10" borderId="82" xfId="2" applyNumberFormat="1" applyFont="1" applyFill="1" applyBorder="1" applyAlignment="1">
      <alignment horizontal="right" vertical="center"/>
    </xf>
    <xf numFmtId="3" fontId="18" fillId="10" borderId="82" xfId="2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horizontal="left" vertical="center"/>
    </xf>
    <xf numFmtId="3" fontId="20" fillId="6" borderId="45" xfId="2" applyNumberFormat="1" applyFont="1" applyFill="1" applyBorder="1" applyAlignment="1">
      <alignment horizontal="right" vertical="center"/>
    </xf>
    <xf numFmtId="3" fontId="20" fillId="6" borderId="46" xfId="2" applyNumberFormat="1" applyFont="1" applyFill="1" applyBorder="1" applyAlignment="1">
      <alignment horizontal="right" vertical="center"/>
    </xf>
    <xf numFmtId="3" fontId="20" fillId="6" borderId="35" xfId="2" applyNumberFormat="1" applyFont="1" applyFill="1" applyBorder="1" applyAlignment="1">
      <alignment horizontal="right" vertical="center"/>
    </xf>
    <xf numFmtId="3" fontId="20" fillId="22" borderId="82" xfId="2" applyNumberFormat="1" applyFont="1" applyFill="1" applyBorder="1" applyAlignment="1">
      <alignment horizontal="right" vertical="center"/>
    </xf>
    <xf numFmtId="3" fontId="46" fillId="22" borderId="82" xfId="2" applyNumberFormat="1" applyFont="1" applyFill="1" applyBorder="1" applyAlignment="1">
      <alignment vertical="center"/>
    </xf>
    <xf numFmtId="3" fontId="18" fillId="22" borderId="82" xfId="2" applyNumberFormat="1" applyFont="1" applyFill="1" applyBorder="1" applyAlignment="1">
      <alignment vertical="center"/>
    </xf>
    <xf numFmtId="3" fontId="18" fillId="22" borderId="79" xfId="2" applyNumberFormat="1" applyFont="1" applyFill="1" applyBorder="1" applyAlignment="1">
      <alignment vertical="center"/>
    </xf>
    <xf numFmtId="3" fontId="20" fillId="4" borderId="15" xfId="2" applyNumberFormat="1" applyFont="1" applyFill="1" applyBorder="1" applyAlignment="1">
      <alignment vertical="center"/>
    </xf>
    <xf numFmtId="3" fontId="20" fillId="4" borderId="126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3" fontId="46" fillId="3" borderId="15" xfId="2" quotePrefix="1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right" vertical="top"/>
    </xf>
    <xf numFmtId="0" fontId="20" fillId="0" borderId="67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8" fillId="0" borderId="15" xfId="4" applyFont="1" applyBorder="1" applyAlignment="1">
      <alignment horizontal="right"/>
    </xf>
    <xf numFmtId="0" fontId="18" fillId="0" borderId="58" xfId="4" applyFont="1" applyBorder="1" applyAlignment="1">
      <alignment horizontal="center" vertical="center" wrapText="1"/>
    </xf>
    <xf numFmtId="0" fontId="18" fillId="0" borderId="62" xfId="4" applyFont="1" applyBorder="1" applyAlignment="1">
      <alignment horizontal="center" vertical="center" wrapText="1"/>
    </xf>
    <xf numFmtId="3" fontId="18" fillId="0" borderId="15" xfId="4" applyNumberFormat="1" applyFont="1" applyBorder="1" applyAlignment="1">
      <alignment horizontal="right"/>
    </xf>
    <xf numFmtId="0" fontId="44" fillId="0" borderId="0" xfId="4" applyFont="1" applyBorder="1" applyAlignment="1">
      <alignment vertical="center"/>
    </xf>
    <xf numFmtId="0" fontId="61" fillId="0" borderId="0" xfId="0" applyFont="1" applyBorder="1" applyAlignment="1"/>
    <xf numFmtId="0" fontId="18" fillId="0" borderId="16" xfId="4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8" xfId="4" applyFont="1" applyBorder="1" applyAlignment="1">
      <alignment horizontal="left" vertical="center" wrapText="1"/>
    </xf>
    <xf numFmtId="0" fontId="18" fillId="0" borderId="62" xfId="4" applyFont="1" applyBorder="1" applyAlignment="1">
      <alignment horizontal="left" vertical="center" wrapText="1"/>
    </xf>
    <xf numFmtId="0" fontId="77" fillId="17" borderId="15" xfId="0" applyFont="1" applyFill="1" applyBorder="1" applyAlignment="1">
      <alignment horizontal="center" vertical="top" wrapText="1"/>
    </xf>
    <xf numFmtId="3" fontId="20" fillId="10" borderId="82" xfId="2" applyNumberFormat="1" applyFont="1" applyFill="1" applyBorder="1" applyAlignment="1">
      <alignment horizontal="right" vertical="center"/>
    </xf>
    <xf numFmtId="3" fontId="18" fillId="0" borderId="15" xfId="0" applyNumberFormat="1" applyFont="1" applyBorder="1" applyAlignment="1">
      <alignment horizontal="center"/>
    </xf>
    <xf numFmtId="2" fontId="15" fillId="0" borderId="0" xfId="0" applyNumberFormat="1" applyFont="1" applyFill="1" applyAlignment="1">
      <alignment vertical="center" shrinkToFit="1"/>
    </xf>
    <xf numFmtId="0" fontId="25" fillId="17" borderId="82" xfId="0" applyFont="1" applyFill="1" applyBorder="1" applyAlignment="1">
      <alignment horizontal="center" vertical="top" wrapText="1"/>
    </xf>
    <xf numFmtId="0" fontId="60" fillId="0" borderId="15" xfId="10" applyFont="1" applyBorder="1" applyAlignment="1">
      <alignment horizontal="center" vertical="center" wrapText="1"/>
    </xf>
    <xf numFmtId="0" fontId="60" fillId="0" borderId="53" xfId="10" applyFont="1" applyBorder="1" applyAlignment="1">
      <alignment horizontal="center" vertical="center" wrapText="1"/>
    </xf>
    <xf numFmtId="0" fontId="78" fillId="0" borderId="60" xfId="10" applyFont="1" applyBorder="1" applyAlignment="1">
      <alignment horizontal="center"/>
    </xf>
    <xf numFmtId="0" fontId="78" fillId="0" borderId="15" xfId="10" applyFont="1" applyBorder="1" applyAlignment="1">
      <alignment horizontal="left" wrapText="1"/>
    </xf>
    <xf numFmtId="0" fontId="78" fillId="0" borderId="15" xfId="10" applyFont="1" applyBorder="1" applyAlignment="1">
      <alignment wrapText="1"/>
    </xf>
    <xf numFmtId="0" fontId="60" fillId="0" borderId="42" xfId="10" applyFont="1" applyBorder="1" applyAlignment="1">
      <alignment horizontal="center"/>
    </xf>
    <xf numFmtId="0" fontId="115" fillId="0" borderId="64" xfId="10" applyFont="1" applyBorder="1"/>
    <xf numFmtId="0" fontId="107" fillId="0" borderId="11" xfId="10" applyFont="1" applyBorder="1" applyAlignment="1">
      <alignment wrapText="1"/>
    </xf>
    <xf numFmtId="0" fontId="107" fillId="0" borderId="23" xfId="10" applyFont="1" applyBorder="1"/>
    <xf numFmtId="0" fontId="78" fillId="0" borderId="15" xfId="10" applyFont="1" applyBorder="1" applyAlignment="1">
      <alignment horizontal="center" wrapText="1"/>
    </xf>
    <xf numFmtId="3" fontId="78" fillId="0" borderId="53" xfId="10" applyNumberFormat="1" applyFont="1" applyBorder="1" applyAlignment="1">
      <alignment horizontal="center" wrapText="1"/>
    </xf>
    <xf numFmtId="0" fontId="72" fillId="0" borderId="42" xfId="10" applyFont="1" applyBorder="1" applyAlignment="1">
      <alignment horizontal="center"/>
    </xf>
    <xf numFmtId="0" fontId="71" fillId="0" borderId="41" xfId="10" applyFont="1" applyBorder="1" applyAlignment="1">
      <alignment horizontal="center"/>
    </xf>
    <xf numFmtId="0" fontId="71" fillId="0" borderId="64" xfId="10" applyFont="1" applyFill="1" applyBorder="1" applyAlignment="1">
      <alignment wrapText="1"/>
    </xf>
    <xf numFmtId="0" fontId="24" fillId="0" borderId="64" xfId="10" applyFont="1" applyBorder="1" applyAlignment="1">
      <alignment horizontal="center"/>
    </xf>
    <xf numFmtId="0" fontId="71" fillId="0" borderId="11" xfId="10" applyFont="1" applyFill="1" applyBorder="1"/>
    <xf numFmtId="0" fontId="73" fillId="0" borderId="11" xfId="10" applyFont="1" applyFill="1" applyBorder="1" applyAlignment="1">
      <alignment wrapText="1"/>
    </xf>
    <xf numFmtId="0" fontId="72" fillId="0" borderId="38" xfId="10" applyFont="1" applyBorder="1" applyAlignment="1">
      <alignment horizontal="center"/>
    </xf>
    <xf numFmtId="0" fontId="71" fillId="0" borderId="9" xfId="10" applyFont="1" applyFill="1" applyBorder="1" applyAlignment="1">
      <alignment wrapText="1"/>
    </xf>
    <xf numFmtId="0" fontId="60" fillId="0" borderId="15" xfId="10" applyFont="1" applyBorder="1" applyAlignment="1">
      <alignment horizontal="center" wrapText="1"/>
    </xf>
    <xf numFmtId="0" fontId="60" fillId="0" borderId="53" xfId="10" applyFont="1" applyBorder="1" applyAlignment="1">
      <alignment horizontal="center" wrapText="1"/>
    </xf>
    <xf numFmtId="3" fontId="78" fillId="0" borderId="15" xfId="10" applyNumberFormat="1" applyFont="1" applyBorder="1" applyAlignment="1">
      <alignment horizontal="center"/>
    </xf>
    <xf numFmtId="3" fontId="60" fillId="0" borderId="64" xfId="10" applyNumberFormat="1" applyFont="1" applyBorder="1" applyAlignment="1">
      <alignment horizontal="center"/>
    </xf>
    <xf numFmtId="3" fontId="60" fillId="0" borderId="65" xfId="10" applyNumberFormat="1" applyFont="1" applyBorder="1" applyAlignment="1">
      <alignment horizontal="center"/>
    </xf>
    <xf numFmtId="3" fontId="60" fillId="0" borderId="8" xfId="10" applyNumberFormat="1" applyFont="1" applyBorder="1" applyAlignment="1">
      <alignment horizontal="center"/>
    </xf>
    <xf numFmtId="3" fontId="60" fillId="0" borderId="28" xfId="10" applyNumberFormat="1" applyFont="1" applyBorder="1" applyAlignment="1">
      <alignment horizontal="center"/>
    </xf>
    <xf numFmtId="0" fontId="24" fillId="0" borderId="11" xfId="10" applyFont="1" applyBorder="1" applyAlignment="1">
      <alignment horizontal="center"/>
    </xf>
    <xf numFmtId="3" fontId="24" fillId="0" borderId="25" xfId="10" applyNumberFormat="1" applyFont="1" applyBorder="1" applyAlignment="1">
      <alignment horizontal="center" vertical="center"/>
    </xf>
    <xf numFmtId="0" fontId="24" fillId="0" borderId="9" xfId="10" applyFont="1" applyBorder="1" applyAlignment="1">
      <alignment horizontal="center"/>
    </xf>
    <xf numFmtId="3" fontId="24" fillId="0" borderId="20" xfId="10" applyNumberFormat="1" applyFont="1" applyBorder="1" applyAlignment="1">
      <alignment horizontal="center" vertical="center"/>
    </xf>
    <xf numFmtId="3" fontId="78" fillId="0" borderId="14" xfId="10" applyNumberFormat="1" applyFont="1" applyBorder="1" applyAlignment="1">
      <alignment horizontal="center"/>
    </xf>
    <xf numFmtId="0" fontId="83" fillId="0" borderId="0" xfId="10" applyFont="1" applyAlignment="1">
      <alignment horizontal="center"/>
    </xf>
    <xf numFmtId="3" fontId="78" fillId="0" borderId="53" xfId="10" applyNumberFormat="1" applyFont="1" applyBorder="1" applyAlignment="1">
      <alignment horizontal="center"/>
    </xf>
    <xf numFmtId="0" fontId="24" fillId="0" borderId="65" xfId="10" applyFont="1" applyBorder="1" applyAlignment="1">
      <alignment horizontal="center"/>
    </xf>
    <xf numFmtId="3" fontId="78" fillId="0" borderId="56" xfId="10" applyNumberFormat="1" applyFont="1" applyBorder="1" applyAlignment="1">
      <alignment horizontal="center"/>
    </xf>
    <xf numFmtId="0" fontId="60" fillId="17" borderId="16" xfId="0" applyFont="1" applyFill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lef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34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horizontal="center" vertical="top" wrapText="1"/>
    </xf>
    <xf numFmtId="3" fontId="24" fillId="0" borderId="39" xfId="0" applyNumberFormat="1" applyFont="1" applyBorder="1" applyAlignment="1">
      <alignment horizontal="right" vertical="top" wrapText="1"/>
    </xf>
    <xf numFmtId="0" fontId="24" fillId="0" borderId="68" xfId="0" applyFont="1" applyBorder="1" applyAlignment="1">
      <alignment horizontal="center" vertical="top" wrapText="1"/>
    </xf>
    <xf numFmtId="0" fontId="24" fillId="0" borderId="69" xfId="0" applyFont="1" applyBorder="1" applyAlignment="1">
      <alignment horizontal="left" vertical="top" wrapText="1"/>
    </xf>
    <xf numFmtId="3" fontId="24" fillId="0" borderId="69" xfId="0" applyNumberFormat="1" applyFont="1" applyBorder="1" applyAlignment="1">
      <alignment horizontal="right" vertical="top" wrapText="1"/>
    </xf>
    <xf numFmtId="3" fontId="24" fillId="0" borderId="51" xfId="0" applyNumberFormat="1" applyFont="1" applyBorder="1" applyAlignment="1">
      <alignment horizontal="right" vertical="top" wrapText="1"/>
    </xf>
    <xf numFmtId="0" fontId="77" fillId="17" borderId="67" xfId="0" applyFont="1" applyFill="1" applyBorder="1" applyAlignment="1">
      <alignment horizontal="center" vertical="top" wrapText="1"/>
    </xf>
    <xf numFmtId="0" fontId="77" fillId="17" borderId="12" xfId="0" applyFont="1" applyFill="1" applyBorder="1" applyAlignment="1">
      <alignment horizontal="center" vertical="top" wrapText="1"/>
    </xf>
    <xf numFmtId="0" fontId="77" fillId="17" borderId="55" xfId="0" applyFont="1" applyFill="1" applyBorder="1" applyAlignment="1">
      <alignment horizontal="center" vertical="top" wrapText="1"/>
    </xf>
    <xf numFmtId="0" fontId="77" fillId="17" borderId="60" xfId="0" applyFont="1" applyFill="1" applyBorder="1" applyAlignment="1">
      <alignment horizontal="center" vertical="top" wrapText="1"/>
    </xf>
    <xf numFmtId="0" fontId="77" fillId="17" borderId="53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3" fontId="25" fillId="0" borderId="0" xfId="0" applyNumberFormat="1" applyFont="1" applyBorder="1" applyAlignment="1">
      <alignment horizontal="right" vertical="top" wrapText="1"/>
    </xf>
    <xf numFmtId="3" fontId="25" fillId="0" borderId="39" xfId="0" applyNumberFormat="1" applyFont="1" applyBorder="1" applyAlignment="1">
      <alignment horizontal="right" vertical="top" wrapText="1"/>
    </xf>
    <xf numFmtId="0" fontId="25" fillId="0" borderId="68" xfId="0" applyFont="1" applyBorder="1" applyAlignment="1">
      <alignment horizontal="center" vertical="top" wrapText="1"/>
    </xf>
    <xf numFmtId="0" fontId="25" fillId="0" borderId="69" xfId="0" applyFont="1" applyBorder="1" applyAlignment="1">
      <alignment horizontal="left" vertical="top" wrapText="1"/>
    </xf>
    <xf numFmtId="3" fontId="25" fillId="0" borderId="69" xfId="0" applyNumberFormat="1" applyFont="1" applyBorder="1" applyAlignment="1">
      <alignment horizontal="right" vertical="top" wrapText="1"/>
    </xf>
    <xf numFmtId="3" fontId="25" fillId="0" borderId="51" xfId="0" applyNumberFormat="1" applyFont="1" applyBorder="1" applyAlignment="1">
      <alignment horizontal="right" vertical="top" wrapText="1"/>
    </xf>
    <xf numFmtId="3" fontId="64" fillId="7" borderId="14" xfId="0" applyNumberFormat="1" applyFont="1" applyFill="1" applyBorder="1"/>
    <xf numFmtId="0" fontId="45" fillId="3" borderId="0" xfId="0" applyFont="1" applyFill="1"/>
    <xf numFmtId="3" fontId="54" fillId="3" borderId="0" xfId="0" applyNumberFormat="1" applyFont="1" applyFill="1"/>
    <xf numFmtId="0" fontId="64" fillId="3" borderId="15" xfId="0" applyFont="1" applyFill="1" applyBorder="1" applyAlignment="1">
      <alignment horizontal="center" vertical="center"/>
    </xf>
    <xf numFmtId="0" fontId="64" fillId="3" borderId="15" xfId="6" applyFont="1" applyFill="1" applyBorder="1" applyAlignment="1">
      <alignment horizontal="center" vertical="center"/>
    </xf>
    <xf numFmtId="0" fontId="64" fillId="3" borderId="15" xfId="6" applyFont="1" applyFill="1" applyBorder="1" applyAlignment="1">
      <alignment horizontal="center" vertical="center" wrapText="1"/>
    </xf>
    <xf numFmtId="3" fontId="64" fillId="3" borderId="15" xfId="0" applyNumberFormat="1" applyFont="1" applyFill="1" applyBorder="1"/>
    <xf numFmtId="3" fontId="44" fillId="3" borderId="53" xfId="0" applyNumberFormat="1" applyFont="1" applyFill="1" applyBorder="1" applyAlignment="1">
      <alignment horizontal="right"/>
    </xf>
    <xf numFmtId="0" fontId="64" fillId="3" borderId="40" xfId="0" quotePrefix="1" applyFont="1" applyFill="1" applyBorder="1" applyAlignment="1">
      <alignment horizontal="center" vertical="center"/>
    </xf>
    <xf numFmtId="0" fontId="64" fillId="3" borderId="15" xfId="0" applyFont="1" applyFill="1" applyBorder="1" applyAlignment="1">
      <alignment horizontal="left" vertical="center" wrapText="1"/>
    </xf>
    <xf numFmtId="3" fontId="44" fillId="3" borderId="16" xfId="0" applyNumberFormat="1" applyFont="1" applyFill="1" applyBorder="1"/>
    <xf numFmtId="0" fontId="64" fillId="3" borderId="57" xfId="0" quotePrefix="1" applyFont="1" applyFill="1" applyBorder="1" applyAlignment="1">
      <alignment horizontal="center"/>
    </xf>
    <xf numFmtId="0" fontId="64" fillId="3" borderId="5" xfId="0" applyFont="1" applyFill="1" applyBorder="1" applyAlignment="1">
      <alignment wrapText="1"/>
    </xf>
    <xf numFmtId="3" fontId="44" fillId="7" borderId="56" xfId="0" applyNumberFormat="1" applyFont="1" applyFill="1" applyBorder="1" applyAlignment="1">
      <alignment horizontal="right"/>
    </xf>
    <xf numFmtId="0" fontId="64" fillId="7" borderId="82" xfId="0" quotePrefix="1" applyFont="1" applyFill="1" applyBorder="1" applyAlignment="1">
      <alignment horizontal="center"/>
    </xf>
    <xf numFmtId="3" fontId="64" fillId="7" borderId="82" xfId="0" applyNumberFormat="1" applyFont="1" applyFill="1" applyBorder="1"/>
    <xf numFmtId="3" fontId="64" fillId="14" borderId="82" xfId="0" applyNumberFormat="1" applyFont="1" applyFill="1" applyBorder="1"/>
    <xf numFmtId="3" fontId="44" fillId="7" borderId="82" xfId="0" applyNumberFormat="1" applyFont="1" applyFill="1" applyBorder="1" applyAlignment="1">
      <alignment horizontal="right"/>
    </xf>
    <xf numFmtId="0" fontId="60" fillId="0" borderId="0" xfId="4" applyFont="1" applyAlignment="1">
      <alignment vertical="center" wrapText="1"/>
    </xf>
    <xf numFmtId="3" fontId="46" fillId="3" borderId="15" xfId="2" quotePrefix="1" applyNumberFormat="1" applyFont="1" applyFill="1" applyBorder="1" applyAlignment="1">
      <alignment horizontal="center" vertical="center" wrapText="1"/>
    </xf>
    <xf numFmtId="3" fontId="46" fillId="3" borderId="0" xfId="2" quotePrefix="1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wrapText="1"/>
    </xf>
    <xf numFmtId="0" fontId="18" fillId="0" borderId="15" xfId="5" applyFont="1" applyBorder="1" applyAlignment="1">
      <alignment horizontal="center" wrapText="1" shrinkToFit="1"/>
    </xf>
    <xf numFmtId="2" fontId="15" fillId="0" borderId="130" xfId="0" applyNumberFormat="1" applyFont="1" applyFill="1" applyBorder="1" applyAlignment="1">
      <alignment vertical="center" shrinkToFit="1"/>
    </xf>
    <xf numFmtId="2" fontId="16" fillId="3" borderId="130" xfId="0" applyNumberFormat="1" applyFont="1" applyFill="1" applyBorder="1" applyAlignment="1">
      <alignment horizontal="justify" vertical="center" shrinkToFit="1"/>
    </xf>
    <xf numFmtId="2" fontId="108" fillId="3" borderId="130" xfId="0" applyNumberFormat="1" applyFont="1" applyFill="1" applyBorder="1" applyAlignment="1">
      <alignment vertical="center" shrinkToFit="1"/>
    </xf>
    <xf numFmtId="2" fontId="108" fillId="3" borderId="130" xfId="0" applyNumberFormat="1" applyFont="1" applyFill="1" applyBorder="1" applyAlignment="1">
      <alignment horizontal="left" vertical="center" shrinkToFit="1"/>
    </xf>
    <xf numFmtId="2" fontId="110" fillId="3" borderId="130" xfId="0" applyNumberFormat="1" applyFont="1" applyFill="1" applyBorder="1" applyAlignment="1">
      <alignment horizontal="left" vertical="center" shrinkToFit="1"/>
    </xf>
    <xf numFmtId="2" fontId="110" fillId="3" borderId="130" xfId="0" applyNumberFormat="1" applyFont="1" applyFill="1" applyBorder="1" applyAlignment="1">
      <alignment vertical="center" shrinkToFit="1"/>
    </xf>
    <xf numFmtId="2" fontId="111" fillId="3" borderId="130" xfId="0" applyNumberFormat="1" applyFont="1" applyFill="1" applyBorder="1" applyAlignment="1">
      <alignment vertical="center" shrinkToFit="1"/>
    </xf>
    <xf numFmtId="42" fontId="108" fillId="3" borderId="130" xfId="0" applyNumberFormat="1" applyFont="1" applyFill="1" applyBorder="1" applyAlignment="1">
      <alignment vertical="center" wrapText="1"/>
    </xf>
    <xf numFmtId="2" fontId="108" fillId="3" borderId="130" xfId="0" applyNumberFormat="1" applyFont="1" applyFill="1" applyBorder="1" applyAlignment="1">
      <alignment vertical="center" wrapText="1"/>
    </xf>
    <xf numFmtId="2" fontId="89" fillId="3" borderId="130" xfId="0" applyNumberFormat="1" applyFont="1" applyFill="1" applyBorder="1"/>
    <xf numFmtId="2" fontId="108" fillId="3" borderId="131" xfId="0" applyNumberFormat="1" applyFont="1" applyFill="1" applyBorder="1" applyAlignment="1">
      <alignment vertical="center" wrapText="1"/>
    </xf>
    <xf numFmtId="2" fontId="55" fillId="3" borderId="130" xfId="0" applyNumberFormat="1" applyFont="1" applyFill="1" applyBorder="1" applyAlignment="1">
      <alignment vertical="center" shrinkToFit="1"/>
    </xf>
    <xf numFmtId="2" fontId="112" fillId="3" borderId="130" xfId="0" applyNumberFormat="1" applyFont="1" applyFill="1" applyBorder="1" applyAlignment="1">
      <alignment horizontal="left" vertical="center" shrinkToFit="1"/>
    </xf>
    <xf numFmtId="2" fontId="89" fillId="3" borderId="130" xfId="0" applyNumberFormat="1" applyFont="1" applyFill="1" applyBorder="1" applyAlignment="1">
      <alignment horizontal="left" vertical="center" indent="1" shrinkToFit="1"/>
    </xf>
    <xf numFmtId="2" fontId="110" fillId="3" borderId="130" xfId="0" applyNumberFormat="1" applyFont="1" applyFill="1" applyBorder="1"/>
    <xf numFmtId="2" fontId="112" fillId="3" borderId="130" xfId="0" applyNumberFormat="1" applyFont="1" applyFill="1" applyBorder="1" applyAlignment="1">
      <alignment vertical="center" shrinkToFit="1"/>
    </xf>
    <xf numFmtId="2" fontId="113" fillId="3" borderId="130" xfId="0" applyNumberFormat="1" applyFont="1" applyFill="1" applyBorder="1" applyAlignment="1">
      <alignment horizontal="center" vertical="center" shrinkToFit="1"/>
    </xf>
    <xf numFmtId="2" fontId="12" fillId="3" borderId="130" xfId="0" applyNumberFormat="1" applyFont="1" applyFill="1" applyBorder="1" applyAlignment="1">
      <alignment vertical="center" shrinkToFit="1"/>
    </xf>
    <xf numFmtId="2" fontId="15" fillId="3" borderId="130" xfId="0" applyNumberFormat="1" applyFont="1" applyFill="1" applyBorder="1" applyAlignment="1">
      <alignment vertical="center" shrinkToFit="1"/>
    </xf>
    <xf numFmtId="2" fontId="32" fillId="3" borderId="130" xfId="0" applyNumberFormat="1" applyFont="1" applyFill="1" applyBorder="1" applyAlignment="1">
      <alignment vertical="center" shrinkToFit="1"/>
    </xf>
    <xf numFmtId="2" fontId="32" fillId="0" borderId="130" xfId="0" applyNumberFormat="1" applyFont="1" applyFill="1" applyBorder="1" applyAlignment="1">
      <alignment vertical="center" shrinkToFit="1"/>
    </xf>
    <xf numFmtId="164" fontId="35" fillId="0" borderId="53" xfId="0" applyNumberFormat="1" applyFont="1" applyFill="1" applyBorder="1" applyAlignment="1">
      <alignment vertical="center" shrinkToFit="1"/>
    </xf>
    <xf numFmtId="3" fontId="43" fillId="5" borderId="115" xfId="0" applyNumberFormat="1" applyFont="1" applyFill="1" applyBorder="1" applyAlignment="1">
      <alignment vertical="center"/>
    </xf>
    <xf numFmtId="3" fontId="25" fillId="8" borderId="13" xfId="0" applyNumberFormat="1" applyFont="1" applyFill="1" applyBorder="1" applyAlignment="1">
      <alignment horizontal="right" vertical="center"/>
    </xf>
    <xf numFmtId="3" fontId="25" fillId="8" borderId="16" xfId="0" applyNumberFormat="1" applyFont="1" applyFill="1" applyBorder="1" applyAlignment="1">
      <alignment horizontal="right" vertical="center"/>
    </xf>
    <xf numFmtId="3" fontId="25" fillId="20" borderId="103" xfId="0" applyNumberFormat="1" applyFont="1" applyFill="1" applyBorder="1" applyAlignment="1">
      <alignment horizontal="right" vertical="center"/>
    </xf>
    <xf numFmtId="3" fontId="25" fillId="20" borderId="13" xfId="0" applyNumberFormat="1" applyFont="1" applyFill="1" applyBorder="1" applyAlignment="1">
      <alignment horizontal="right" vertical="center"/>
    </xf>
    <xf numFmtId="3" fontId="25" fillId="20" borderId="15" xfId="0" applyNumberFormat="1" applyFont="1" applyFill="1" applyBorder="1" applyAlignment="1">
      <alignment horizontal="right" vertical="center"/>
    </xf>
    <xf numFmtId="3" fontId="25" fillId="20" borderId="16" xfId="0" applyNumberFormat="1" applyFont="1" applyFill="1" applyBorder="1" applyAlignment="1">
      <alignment horizontal="right" vertical="center"/>
    </xf>
    <xf numFmtId="3" fontId="24" fillId="3" borderId="11" xfId="0" applyNumberFormat="1" applyFont="1" applyFill="1" applyBorder="1" applyAlignment="1">
      <alignment horizontal="right" vertical="center"/>
    </xf>
    <xf numFmtId="3" fontId="24" fillId="3" borderId="9" xfId="0" applyNumberFormat="1" applyFont="1" applyFill="1" applyBorder="1" applyAlignment="1">
      <alignment horizontal="right" vertical="center"/>
    </xf>
    <xf numFmtId="3" fontId="25" fillId="18" borderId="15" xfId="0" applyNumberFormat="1" applyFont="1" applyFill="1" applyBorder="1" applyAlignment="1">
      <alignment horizontal="right" vertical="center"/>
    </xf>
    <xf numFmtId="3" fontId="25" fillId="5" borderId="15" xfId="0" applyNumberFormat="1" applyFont="1" applyFill="1" applyBorder="1" applyAlignment="1">
      <alignment horizontal="right" vertical="center"/>
    </xf>
    <xf numFmtId="3" fontId="25" fillId="3" borderId="15" xfId="0" applyNumberFormat="1" applyFont="1" applyFill="1" applyBorder="1" applyAlignment="1">
      <alignment horizontal="left" vertical="center"/>
    </xf>
    <xf numFmtId="3" fontId="12" fillId="3" borderId="6" xfId="0" applyNumberFormat="1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12" fillId="3" borderId="9" xfId="0" applyNumberFormat="1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3" fontId="22" fillId="3" borderId="15" xfId="0" applyNumberFormat="1" applyFont="1" applyFill="1" applyBorder="1" applyAlignment="1">
      <alignment horizontal="center" vertical="center"/>
    </xf>
    <xf numFmtId="3" fontId="22" fillId="6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3" fontId="20" fillId="3" borderId="79" xfId="2" applyNumberFormat="1" applyFont="1" applyFill="1" applyBorder="1" applyAlignment="1">
      <alignment horizontal="center" vertical="center" wrapText="1"/>
    </xf>
    <xf numFmtId="3" fontId="20" fillId="3" borderId="83" xfId="2" applyNumberFormat="1" applyFont="1" applyFill="1" applyBorder="1" applyAlignment="1">
      <alignment horizontal="center" vertical="center" wrapText="1"/>
    </xf>
    <xf numFmtId="1" fontId="102" fillId="3" borderId="9" xfId="2" applyNumberFormat="1" applyFont="1" applyFill="1" applyBorder="1" applyAlignment="1">
      <alignment horizontal="center" vertical="center"/>
    </xf>
    <xf numFmtId="49" fontId="48" fillId="0" borderId="9" xfId="2" applyNumberFormat="1" applyFont="1" applyFill="1" applyBorder="1" applyAlignment="1">
      <alignment horizontal="center" vertical="center"/>
    </xf>
    <xf numFmtId="49" fontId="48" fillId="3" borderId="16" xfId="2" applyNumberFormat="1" applyFont="1" applyFill="1" applyBorder="1" applyAlignment="1">
      <alignment horizontal="center" vertical="center"/>
    </xf>
    <xf numFmtId="49" fontId="48" fillId="3" borderId="9" xfId="2" applyNumberFormat="1" applyFont="1" applyFill="1" applyBorder="1" applyAlignment="1">
      <alignment horizontal="center" vertical="center"/>
    </xf>
    <xf numFmtId="0" fontId="64" fillId="3" borderId="12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 wrapText="1"/>
    </xf>
    <xf numFmtId="164" fontId="117" fillId="0" borderId="22" xfId="0" applyNumberFormat="1" applyFont="1" applyFill="1" applyBorder="1" applyAlignment="1">
      <alignment horizontal="center" vertical="center" shrinkToFit="1"/>
    </xf>
    <xf numFmtId="3" fontId="22" fillId="0" borderId="78" xfId="0" applyNumberFormat="1" applyFont="1" applyFill="1" applyBorder="1" applyAlignment="1">
      <alignment horizontal="center" vertical="center" shrinkToFit="1"/>
    </xf>
    <xf numFmtId="0" fontId="118" fillId="0" borderId="54" xfId="0" applyFont="1" applyFill="1" applyBorder="1" applyAlignment="1">
      <alignment horizontal="justify" vertical="center" shrinkToFit="1"/>
    </xf>
    <xf numFmtId="0" fontId="22" fillId="8" borderId="15" xfId="0" applyFont="1" applyFill="1" applyBorder="1" applyAlignment="1">
      <alignment horizontal="left" vertical="center" shrinkToFit="1"/>
    </xf>
    <xf numFmtId="164" fontId="22" fillId="8" borderId="15" xfId="0" applyNumberFormat="1" applyFont="1" applyFill="1" applyBorder="1" applyAlignment="1">
      <alignment horizontal="left" vertical="center" shrinkToFit="1"/>
    </xf>
    <xf numFmtId="3" fontId="22" fillId="8" borderId="15" xfId="0" applyNumberFormat="1" applyFont="1" applyFill="1" applyBorder="1" applyAlignment="1">
      <alignment horizontal="right" vertical="center" shrinkToFit="1"/>
    </xf>
    <xf numFmtId="3" fontId="22" fillId="8" borderId="53" xfId="0" applyNumberFormat="1" applyFont="1" applyFill="1" applyBorder="1" applyAlignment="1">
      <alignment horizontal="right" vertical="center" shrinkToFit="1"/>
    </xf>
    <xf numFmtId="0" fontId="119" fillId="0" borderId="15" xfId="0" applyFont="1" applyFill="1" applyBorder="1" applyAlignment="1">
      <alignment horizontal="left" vertical="center" shrinkToFit="1"/>
    </xf>
    <xf numFmtId="164" fontId="22" fillId="0" borderId="15" xfId="0" applyNumberFormat="1" applyFont="1" applyFill="1" applyBorder="1" applyAlignment="1">
      <alignment horizontal="left" vertical="center" shrinkToFit="1"/>
    </xf>
    <xf numFmtId="3" fontId="119" fillId="0" borderId="15" xfId="0" applyNumberFormat="1" applyFont="1" applyFill="1" applyBorder="1" applyAlignment="1">
      <alignment horizontal="right" vertical="center" shrinkToFit="1"/>
    </xf>
    <xf numFmtId="3" fontId="119" fillId="0" borderId="53" xfId="0" applyNumberFormat="1" applyFont="1" applyFill="1" applyBorder="1" applyAlignment="1">
      <alignment horizontal="right" vertical="center" shrinkToFit="1"/>
    </xf>
    <xf numFmtId="0" fontId="102" fillId="0" borderId="60" xfId="0" applyFont="1" applyFill="1" applyBorder="1" applyAlignment="1">
      <alignment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119" fillId="8" borderId="15" xfId="0" applyFont="1" applyFill="1" applyBorder="1" applyAlignment="1">
      <alignment horizontal="left" vertical="center" shrinkToFit="1"/>
    </xf>
    <xf numFmtId="164" fontId="119" fillId="8" borderId="15" xfId="0" applyNumberFormat="1" applyFont="1" applyFill="1" applyBorder="1" applyAlignment="1">
      <alignment horizontal="left" vertical="center" shrinkToFit="1"/>
    </xf>
    <xf numFmtId="3" fontId="35" fillId="8" borderId="15" xfId="0" applyNumberFormat="1" applyFont="1" applyFill="1" applyBorder="1" applyAlignment="1">
      <alignment horizontal="right" vertical="center" shrinkToFit="1"/>
    </xf>
    <xf numFmtId="164" fontId="118" fillId="8" borderId="53" xfId="0" applyNumberFormat="1" applyFont="1" applyFill="1" applyBorder="1" applyAlignment="1">
      <alignment horizontal="justify" vertical="center" shrinkToFit="1"/>
    </xf>
    <xf numFmtId="0" fontId="119" fillId="3" borderId="15" xfId="0" applyFont="1" applyFill="1" applyBorder="1" applyAlignment="1">
      <alignment horizontal="left" vertical="center" shrinkToFit="1"/>
    </xf>
    <xf numFmtId="164" fontId="118" fillId="0" borderId="53" xfId="0" applyNumberFormat="1" applyFont="1" applyFill="1" applyBorder="1" applyAlignment="1">
      <alignment horizontal="justify" vertical="center" shrinkToFit="1"/>
    </xf>
    <xf numFmtId="3" fontId="35" fillId="3" borderId="53" xfId="0" applyNumberFormat="1" applyFont="1" applyFill="1" applyBorder="1" applyAlignment="1">
      <alignment horizontal="right" vertical="center" shrinkToFit="1"/>
    </xf>
    <xf numFmtId="164" fontId="22" fillId="8" borderId="53" xfId="0" applyNumberFormat="1" applyFont="1" applyFill="1" applyBorder="1" applyAlignment="1">
      <alignment horizontal="left" vertical="center" shrinkToFit="1"/>
    </xf>
    <xf numFmtId="164" fontId="119" fillId="3" borderId="15" xfId="0" applyNumberFormat="1" applyFont="1" applyFill="1" applyBorder="1" applyAlignment="1">
      <alignment horizontal="left" vertical="center" shrinkToFit="1"/>
    </xf>
    <xf numFmtId="3" fontId="35" fillId="3" borderId="15" xfId="0" applyNumberFormat="1" applyFont="1" applyFill="1" applyBorder="1" applyAlignment="1">
      <alignment horizontal="right" vertical="center" shrinkToFit="1"/>
    </xf>
    <xf numFmtId="164" fontId="35" fillId="3" borderId="15" xfId="0" applyNumberFormat="1" applyFont="1" applyFill="1" applyBorder="1" applyAlignment="1">
      <alignment horizontal="left" vertical="center" shrinkToFit="1"/>
    </xf>
    <xf numFmtId="41" fontId="35" fillId="0" borderId="0" xfId="0" applyNumberFormat="1" applyFont="1" applyBorder="1"/>
    <xf numFmtId="164" fontId="63" fillId="0" borderId="53" xfId="0" applyNumberFormat="1" applyFont="1" applyFill="1" applyBorder="1" applyAlignment="1">
      <alignment horizontal="justify" vertical="center" shrinkToFit="1"/>
    </xf>
    <xf numFmtId="41" fontId="35" fillId="3" borderId="15" xfId="0" applyNumberFormat="1" applyFont="1" applyFill="1" applyBorder="1" applyAlignment="1">
      <alignment horizontal="right" vertical="center" shrinkToFit="1"/>
    </xf>
    <xf numFmtId="41" fontId="35" fillId="3" borderId="53" xfId="0" applyNumberFormat="1" applyFont="1" applyFill="1" applyBorder="1" applyAlignment="1">
      <alignment horizontal="right" vertical="center" shrinkToFit="1"/>
    </xf>
    <xf numFmtId="0" fontId="48" fillId="8" borderId="15" xfId="0" applyFont="1" applyFill="1" applyBorder="1" applyAlignment="1">
      <alignment horizontal="center" vertical="center" shrinkToFit="1"/>
    </xf>
    <xf numFmtId="0" fontId="102" fillId="8" borderId="60" xfId="0" applyFont="1" applyFill="1" applyBorder="1" applyAlignment="1">
      <alignment vertical="center" shrinkToFit="1"/>
    </xf>
    <xf numFmtId="1" fontId="102" fillId="8" borderId="15" xfId="0" applyNumberFormat="1" applyFont="1" applyFill="1" applyBorder="1" applyAlignment="1">
      <alignment horizontal="center" vertical="center" shrinkToFit="1"/>
    </xf>
    <xf numFmtId="49" fontId="22" fillId="8" borderId="15" xfId="0" applyNumberFormat="1" applyFont="1" applyFill="1" applyBorder="1" applyAlignment="1">
      <alignment vertical="center" shrinkToFit="1"/>
    </xf>
    <xf numFmtId="164" fontId="22" fillId="8" borderId="15" xfId="0" applyNumberFormat="1" applyFont="1" applyFill="1" applyBorder="1" applyAlignment="1">
      <alignment vertical="center" shrinkToFit="1"/>
    </xf>
    <xf numFmtId="164" fontId="22" fillId="8" borderId="53" xfId="0" applyNumberFormat="1" applyFont="1" applyFill="1" applyBorder="1" applyAlignment="1">
      <alignment vertical="center" shrinkToFit="1"/>
    </xf>
    <xf numFmtId="1" fontId="102" fillId="0" borderId="15" xfId="0" applyNumberFormat="1" applyFont="1" applyFill="1" applyBorder="1" applyAlignment="1">
      <alignment horizontal="center" vertical="center" shrinkToFit="1"/>
    </xf>
    <xf numFmtId="49" fontId="120" fillId="9" borderId="15" xfId="0" applyNumberFormat="1" applyFont="1" applyFill="1" applyBorder="1" applyAlignment="1">
      <alignment vertical="center" shrinkToFit="1"/>
    </xf>
    <xf numFmtId="164" fontId="120" fillId="9" borderId="15" xfId="0" applyNumberFormat="1" applyFont="1" applyFill="1" applyBorder="1" applyAlignment="1">
      <alignment vertical="center" shrinkToFit="1"/>
    </xf>
    <xf numFmtId="49" fontId="119" fillId="0" borderId="15" xfId="0" applyNumberFormat="1" applyFont="1" applyFill="1" applyBorder="1" applyAlignment="1">
      <alignment vertical="center" shrinkToFit="1"/>
    </xf>
    <xf numFmtId="164" fontId="119" fillId="0" borderId="15" xfId="0" applyNumberFormat="1" applyFont="1" applyFill="1" applyBorder="1" applyAlignment="1">
      <alignment vertical="center" shrinkToFit="1"/>
    </xf>
    <xf numFmtId="3" fontId="35" fillId="0" borderId="15" xfId="0" applyNumberFormat="1" applyFont="1" applyFill="1" applyBorder="1" applyAlignment="1">
      <alignment horizontal="right" vertical="center" shrinkToFit="1"/>
    </xf>
    <xf numFmtId="49" fontId="120" fillId="23" borderId="15" xfId="0" applyNumberFormat="1" applyFont="1" applyFill="1" applyBorder="1" applyAlignment="1">
      <alignment vertical="center" shrinkToFit="1"/>
    </xf>
    <xf numFmtId="164" fontId="120" fillId="23" borderId="15" xfId="0" applyNumberFormat="1" applyFont="1" applyFill="1" applyBorder="1" applyAlignment="1">
      <alignment vertical="center" shrinkToFit="1"/>
    </xf>
    <xf numFmtId="3" fontId="35" fillId="23" borderId="15" xfId="0" applyNumberFormat="1" applyFont="1" applyFill="1" applyBorder="1" applyAlignment="1">
      <alignment horizontal="right" vertical="center" shrinkToFit="1"/>
    </xf>
    <xf numFmtId="49" fontId="119" fillId="0" borderId="15" xfId="0" quotePrefix="1" applyNumberFormat="1" applyFont="1" applyFill="1" applyBorder="1" applyAlignment="1">
      <alignment vertical="center" shrinkToFit="1"/>
    </xf>
    <xf numFmtId="3" fontId="35" fillId="0" borderId="53" xfId="0" applyNumberFormat="1" applyFont="1" applyFill="1" applyBorder="1" applyAlignment="1">
      <alignment horizontal="right" vertical="center" shrinkToFit="1"/>
    </xf>
    <xf numFmtId="49" fontId="120" fillId="11" borderId="15" xfId="0" applyNumberFormat="1" applyFont="1" applyFill="1" applyBorder="1" applyAlignment="1">
      <alignment vertical="center" shrinkToFit="1"/>
    </xf>
    <xf numFmtId="164" fontId="120" fillId="11" borderId="15" xfId="0" applyNumberFormat="1" applyFont="1" applyFill="1" applyBorder="1" applyAlignment="1">
      <alignment vertical="center" shrinkToFit="1"/>
    </xf>
    <xf numFmtId="3" fontId="35" fillId="8" borderId="53" xfId="0" applyNumberFormat="1" applyFont="1" applyFill="1" applyBorder="1" applyAlignment="1">
      <alignment horizontal="right" vertical="center" shrinkToFit="1"/>
    </xf>
    <xf numFmtId="49" fontId="119" fillId="8" borderId="15" xfId="0" applyNumberFormat="1" applyFont="1" applyFill="1" applyBorder="1" applyAlignment="1">
      <alignment vertical="center" shrinkToFit="1"/>
    </xf>
    <xf numFmtId="49" fontId="22" fillId="8" borderId="15" xfId="0" applyNumberFormat="1" applyFont="1" applyFill="1" applyBorder="1" applyAlignment="1">
      <alignment vertical="center" wrapText="1"/>
    </xf>
    <xf numFmtId="0" fontId="35" fillId="8" borderId="15" xfId="0" applyFont="1" applyFill="1" applyBorder="1"/>
    <xf numFmtId="3" fontId="22" fillId="8" borderId="58" xfId="0" applyNumberFormat="1" applyFont="1" applyFill="1" applyBorder="1" applyAlignment="1">
      <alignment horizontal="right" vertical="center" shrinkToFit="1"/>
    </xf>
    <xf numFmtId="0" fontId="48" fillId="5" borderId="60" xfId="0" applyFont="1" applyFill="1" applyBorder="1" applyAlignment="1">
      <alignment vertical="center" shrinkToFit="1"/>
    </xf>
    <xf numFmtId="0" fontId="102" fillId="5" borderId="15" xfId="0" applyFont="1" applyFill="1" applyBorder="1" applyAlignment="1">
      <alignment horizontal="center" vertical="center" shrinkToFit="1"/>
    </xf>
    <xf numFmtId="49" fontId="22" fillId="5" borderId="15" xfId="0" applyNumberFormat="1" applyFont="1" applyFill="1" applyBorder="1" applyAlignment="1">
      <alignment vertical="center" shrinkToFit="1"/>
    </xf>
    <xf numFmtId="164" fontId="22" fillId="5" borderId="15" xfId="0" applyNumberFormat="1" applyFont="1" applyFill="1" applyBorder="1" applyAlignment="1">
      <alignment vertical="center" shrinkToFit="1"/>
    </xf>
    <xf numFmtId="3" fontId="22" fillId="5" borderId="15" xfId="0" applyNumberFormat="1" applyFont="1" applyFill="1" applyBorder="1" applyAlignment="1">
      <alignment horizontal="right" vertical="center" shrinkToFit="1"/>
    </xf>
    <xf numFmtId="3" fontId="22" fillId="5" borderId="53" xfId="0" applyNumberFormat="1" applyFont="1" applyFill="1" applyBorder="1" applyAlignment="1">
      <alignment horizontal="right" vertical="center" shrinkToFit="1"/>
    </xf>
    <xf numFmtId="0" fontId="48" fillId="8" borderId="60" xfId="0" applyFont="1" applyFill="1" applyBorder="1" applyAlignment="1">
      <alignment vertical="center" shrinkToFit="1"/>
    </xf>
    <xf numFmtId="0" fontId="48" fillId="0" borderId="60" xfId="0" applyFont="1" applyFill="1" applyBorder="1" applyAlignment="1">
      <alignment vertical="center" shrinkToFit="1"/>
    </xf>
    <xf numFmtId="0" fontId="102" fillId="0" borderId="15" xfId="0" applyFont="1" applyFill="1" applyBorder="1" applyAlignment="1">
      <alignment horizontal="center" vertical="center" shrinkToFit="1"/>
    </xf>
    <xf numFmtId="164" fontId="35" fillId="0" borderId="15" xfId="0" applyNumberFormat="1" applyFont="1" applyBorder="1"/>
    <xf numFmtId="49" fontId="121" fillId="3" borderId="15" xfId="0" applyNumberFormat="1" applyFont="1" applyFill="1" applyBorder="1" applyAlignment="1">
      <alignment vertical="center" shrinkToFit="1"/>
    </xf>
    <xf numFmtId="164" fontId="121" fillId="3" borderId="15" xfId="0" applyNumberFormat="1" applyFont="1" applyFill="1" applyBorder="1" applyAlignment="1">
      <alignment vertical="center" shrinkToFit="1"/>
    </xf>
    <xf numFmtId="49" fontId="22" fillId="0" borderId="15" xfId="0" applyNumberFormat="1" applyFont="1" applyFill="1" applyBorder="1" applyAlignment="1">
      <alignment vertical="center" wrapText="1"/>
    </xf>
    <xf numFmtId="164" fontId="22" fillId="3" borderId="15" xfId="0" applyNumberFormat="1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right" vertical="center" shrinkToFit="1"/>
    </xf>
    <xf numFmtId="3" fontId="22" fillId="0" borderId="53" xfId="0" applyNumberFormat="1" applyFont="1" applyFill="1" applyBorder="1" applyAlignment="1">
      <alignment horizontal="right" vertical="center" shrinkToFit="1"/>
    </xf>
    <xf numFmtId="49" fontId="35" fillId="0" borderId="15" xfId="0" applyNumberFormat="1" applyFont="1" applyFill="1" applyBorder="1" applyAlignment="1">
      <alignment vertical="center" wrapText="1"/>
    </xf>
    <xf numFmtId="164" fontId="35" fillId="0" borderId="15" xfId="0" applyNumberFormat="1" applyFont="1" applyFill="1" applyBorder="1" applyAlignment="1">
      <alignment vertical="center" wrapText="1"/>
    </xf>
    <xf numFmtId="164" fontId="102" fillId="0" borderId="15" xfId="0" applyNumberFormat="1" applyFont="1" applyFill="1" applyBorder="1" applyAlignment="1">
      <alignment horizontal="left" vertical="center" shrinkToFit="1"/>
    </xf>
    <xf numFmtId="49" fontId="102" fillId="0" borderId="15" xfId="0" applyNumberFormat="1" applyFont="1" applyFill="1" applyBorder="1" applyAlignment="1">
      <alignment horizontal="left" vertical="center" indent="1" shrinkToFit="1"/>
    </xf>
    <xf numFmtId="164" fontId="102" fillId="0" borderId="15" xfId="0" applyNumberFormat="1" applyFont="1" applyFill="1" applyBorder="1" applyAlignment="1">
      <alignment horizontal="left" vertical="center" indent="1" shrinkToFit="1"/>
    </xf>
    <xf numFmtId="3" fontId="102" fillId="0" borderId="15" xfId="0" applyNumberFormat="1" applyFont="1" applyFill="1" applyBorder="1" applyAlignment="1">
      <alignment horizontal="right" vertical="center" shrinkToFit="1"/>
    </xf>
    <xf numFmtId="49" fontId="22" fillId="0" borderId="15" xfId="0" applyNumberFormat="1" applyFont="1" applyFill="1" applyBorder="1" applyAlignment="1">
      <alignment vertical="center" shrinkToFit="1"/>
    </xf>
    <xf numFmtId="164" fontId="22" fillId="0" borderId="15" xfId="0" applyNumberFormat="1" applyFont="1" applyFill="1" applyBorder="1" applyAlignment="1">
      <alignment vertical="center" shrinkToFit="1"/>
    </xf>
    <xf numFmtId="164" fontId="22" fillId="0" borderId="15" xfId="0" applyNumberFormat="1" applyFont="1" applyFill="1" applyBorder="1" applyAlignment="1">
      <alignment vertical="center" wrapText="1"/>
    </xf>
    <xf numFmtId="164" fontId="22" fillId="0" borderId="53" xfId="0" applyNumberFormat="1" applyFont="1" applyFill="1" applyBorder="1" applyAlignment="1">
      <alignment vertical="center" shrinkToFit="1"/>
    </xf>
    <xf numFmtId="1" fontId="102" fillId="0" borderId="15" xfId="0" quotePrefix="1" applyNumberFormat="1" applyFont="1" applyFill="1" applyBorder="1" applyAlignment="1">
      <alignment horizontal="center" vertical="center" shrinkToFit="1"/>
    </xf>
    <xf numFmtId="49" fontId="35" fillId="0" borderId="15" xfId="0" applyNumberFormat="1" applyFont="1" applyFill="1" applyBorder="1" applyAlignment="1">
      <alignment horizontal="justify" vertical="center" shrinkToFit="1"/>
    </xf>
    <xf numFmtId="164" fontId="35" fillId="0" borderId="15" xfId="0" applyNumberFormat="1" applyFont="1" applyFill="1" applyBorder="1" applyAlignment="1">
      <alignment horizontal="justify" vertical="center" shrinkToFit="1"/>
    </xf>
    <xf numFmtId="1" fontId="48" fillId="0" borderId="15" xfId="0" applyNumberFormat="1" applyFont="1" applyFill="1" applyBorder="1" applyAlignment="1">
      <alignment horizontal="center" vertical="center" shrinkToFit="1"/>
    </xf>
    <xf numFmtId="0" fontId="22" fillId="0" borderId="15" xfId="0" applyFont="1" applyBorder="1" applyAlignment="1">
      <alignment horizontal="left" vertical="center" shrinkToFit="1"/>
    </xf>
    <xf numFmtId="164" fontId="22" fillId="0" borderId="15" xfId="0" applyNumberFormat="1" applyFont="1" applyBorder="1" applyAlignment="1">
      <alignment horizontal="left" vertical="center" shrinkToFit="1"/>
    </xf>
    <xf numFmtId="0" fontId="119" fillId="0" borderId="15" xfId="0" applyFont="1" applyBorder="1"/>
    <xf numFmtId="164" fontId="119" fillId="0" borderId="15" xfId="0" applyNumberFormat="1" applyFont="1" applyBorder="1"/>
    <xf numFmtId="3" fontId="35" fillId="0" borderId="15" xfId="0" applyNumberFormat="1" applyFont="1" applyBorder="1"/>
    <xf numFmtId="164" fontId="102" fillId="25" borderId="15" xfId="0" applyNumberFormat="1" applyFont="1" applyFill="1" applyBorder="1" applyAlignment="1">
      <alignment vertical="center" shrinkToFit="1"/>
    </xf>
    <xf numFmtId="3" fontId="48" fillId="25" borderId="15" xfId="0" applyNumberFormat="1" applyFont="1" applyFill="1" applyBorder="1" applyAlignment="1">
      <alignment horizontal="right" vertical="center" shrinkToFit="1"/>
    </xf>
    <xf numFmtId="164" fontId="35" fillId="25" borderId="53" xfId="0" applyNumberFormat="1" applyFont="1" applyFill="1" applyBorder="1" applyAlignment="1">
      <alignment vertical="center" shrinkToFit="1"/>
    </xf>
    <xf numFmtId="0" fontId="102" fillId="25" borderId="60" xfId="0" applyFont="1" applyFill="1" applyBorder="1" applyAlignment="1">
      <alignment vertical="center" shrinkToFit="1"/>
    </xf>
    <xf numFmtId="0" fontId="102" fillId="25" borderId="15" xfId="0" applyFont="1" applyFill="1" applyBorder="1" applyAlignment="1">
      <alignment horizontal="center" vertical="center" shrinkToFit="1"/>
    </xf>
    <xf numFmtId="49" fontId="48" fillId="25" borderId="15" xfId="0" applyNumberFormat="1" applyFont="1" applyFill="1" applyBorder="1" applyAlignment="1">
      <alignment horizontal="center" vertical="center" shrinkToFit="1"/>
    </xf>
    <xf numFmtId="0" fontId="102" fillId="25" borderId="57" xfId="0" applyFont="1" applyFill="1" applyBorder="1" applyAlignment="1">
      <alignment vertical="center" shrinkToFit="1"/>
    </xf>
    <xf numFmtId="0" fontId="102" fillId="25" borderId="14" xfId="0" applyFont="1" applyFill="1" applyBorder="1" applyAlignment="1">
      <alignment horizontal="center" vertical="center" shrinkToFit="1"/>
    </xf>
    <xf numFmtId="49" fontId="48" fillId="25" borderId="14" xfId="0" applyNumberFormat="1" applyFont="1" applyFill="1" applyBorder="1" applyAlignment="1">
      <alignment horizontal="center" vertical="center" shrinkToFit="1"/>
    </xf>
    <xf numFmtId="164" fontId="22" fillId="5" borderId="53" xfId="0" applyNumberFormat="1" applyFont="1" applyFill="1" applyBorder="1" applyAlignment="1">
      <alignment vertical="center" shrinkToFit="1"/>
    </xf>
    <xf numFmtId="164" fontId="63" fillId="0" borderId="53" xfId="0" applyNumberFormat="1" applyFont="1" applyFill="1" applyBorder="1" applyAlignment="1">
      <alignment vertical="center" shrinkToFit="1"/>
    </xf>
    <xf numFmtId="164" fontId="22" fillId="0" borderId="53" xfId="0" applyNumberFormat="1" applyFont="1" applyBorder="1" applyAlignment="1">
      <alignment horizontal="left" vertical="center" shrinkToFit="1"/>
    </xf>
    <xf numFmtId="0" fontId="22" fillId="9" borderId="15" xfId="0" applyFont="1" applyFill="1" applyBorder="1" applyAlignment="1">
      <alignment horizontal="left" vertical="center" shrinkToFit="1"/>
    </xf>
    <xf numFmtId="164" fontId="22" fillId="9" borderId="15" xfId="0" applyNumberFormat="1" applyFont="1" applyFill="1" applyBorder="1" applyAlignment="1">
      <alignment horizontal="left" vertical="center" shrinkToFit="1"/>
    </xf>
    <xf numFmtId="164" fontId="22" fillId="9" borderId="53" xfId="0" applyNumberFormat="1" applyFont="1" applyFill="1" applyBorder="1" applyAlignment="1">
      <alignment horizontal="left" vertical="center" shrinkToFit="1"/>
    </xf>
    <xf numFmtId="164" fontId="120" fillId="9" borderId="53" xfId="0" applyNumberFormat="1" applyFont="1" applyFill="1" applyBorder="1" applyAlignment="1">
      <alignment vertical="center" shrinkToFit="1"/>
    </xf>
    <xf numFmtId="3" fontId="35" fillId="23" borderId="53" xfId="0" applyNumberFormat="1" applyFont="1" applyFill="1" applyBorder="1" applyAlignment="1">
      <alignment horizontal="right" vertical="center" shrinkToFit="1"/>
    </xf>
    <xf numFmtId="164" fontId="120" fillId="11" borderId="53" xfId="0" applyNumberFormat="1" applyFont="1" applyFill="1" applyBorder="1" applyAlignment="1">
      <alignment vertical="center" shrinkToFit="1"/>
    </xf>
    <xf numFmtId="0" fontId="102" fillId="24" borderId="60" xfId="0" applyFont="1" applyFill="1" applyBorder="1" applyAlignment="1">
      <alignment vertical="center" shrinkToFit="1"/>
    </xf>
    <xf numFmtId="0" fontId="48" fillId="24" borderId="15" xfId="0" applyFont="1" applyFill="1" applyBorder="1" applyAlignment="1">
      <alignment horizontal="center" vertical="center" shrinkToFit="1"/>
    </xf>
    <xf numFmtId="49" fontId="22" fillId="24" borderId="15" xfId="0" applyNumberFormat="1" applyFont="1" applyFill="1" applyBorder="1" applyAlignment="1">
      <alignment vertical="center" wrapText="1"/>
    </xf>
    <xf numFmtId="164" fontId="22" fillId="24" borderId="15" xfId="0" applyNumberFormat="1" applyFont="1" applyFill="1" applyBorder="1" applyAlignment="1">
      <alignment vertical="center" wrapText="1"/>
    </xf>
    <xf numFmtId="3" fontId="22" fillId="24" borderId="15" xfId="0" applyNumberFormat="1" applyFont="1" applyFill="1" applyBorder="1" applyAlignment="1">
      <alignment horizontal="right" vertical="center" shrinkToFit="1"/>
    </xf>
    <xf numFmtId="3" fontId="22" fillId="24" borderId="53" xfId="0" applyNumberFormat="1" applyFont="1" applyFill="1" applyBorder="1" applyAlignment="1">
      <alignment horizontal="right" vertical="center" shrinkToFit="1"/>
    </xf>
    <xf numFmtId="0" fontId="102" fillId="5" borderId="60" xfId="0" applyFont="1" applyFill="1" applyBorder="1" applyAlignment="1">
      <alignment vertical="center" shrinkToFit="1"/>
    </xf>
    <xf numFmtId="0" fontId="48" fillId="5" borderId="15" xfId="0" applyFont="1" applyFill="1" applyBorder="1" applyAlignment="1">
      <alignment horizontal="center" vertical="center" shrinkToFit="1"/>
    </xf>
    <xf numFmtId="164" fontId="35" fillId="8" borderId="53" xfId="0" applyNumberFormat="1" applyFont="1" applyFill="1" applyBorder="1" applyAlignment="1">
      <alignment vertical="center" shrinkToFit="1"/>
    </xf>
    <xf numFmtId="3" fontId="30" fillId="3" borderId="72" xfId="0" applyNumberFormat="1" applyFont="1" applyFill="1" applyBorder="1" applyAlignment="1">
      <alignment horizontal="center" vertical="center"/>
    </xf>
    <xf numFmtId="3" fontId="14" fillId="5" borderId="114" xfId="0" applyNumberFormat="1" applyFont="1" applyFill="1" applyBorder="1" applyAlignment="1">
      <alignment horizontal="center" vertical="center"/>
    </xf>
    <xf numFmtId="3" fontId="14" fillId="5" borderId="115" xfId="0" applyNumberFormat="1" applyFont="1" applyFill="1" applyBorder="1" applyAlignment="1">
      <alignment horizontal="center" vertical="center"/>
    </xf>
    <xf numFmtId="3" fontId="12" fillId="5" borderId="115" xfId="0" applyNumberFormat="1" applyFont="1" applyFill="1" applyBorder="1" applyAlignment="1">
      <alignment horizontal="center" vertical="center"/>
    </xf>
    <xf numFmtId="3" fontId="43" fillId="5" borderId="115" xfId="2" applyNumberFormat="1" applyFont="1" applyFill="1" applyBorder="1" applyAlignment="1">
      <alignment horizontal="center" vertical="center"/>
    </xf>
    <xf numFmtId="3" fontId="24" fillId="5" borderId="116" xfId="0" applyNumberFormat="1" applyFont="1" applyFill="1" applyBorder="1" applyAlignment="1">
      <alignment horizontal="right" vertical="center"/>
    </xf>
    <xf numFmtId="3" fontId="46" fillId="8" borderId="16" xfId="2" quotePrefix="1" applyNumberFormat="1" applyFont="1" applyFill="1" applyBorder="1" applyAlignment="1">
      <alignment horizontal="center" vertical="center"/>
    </xf>
    <xf numFmtId="3" fontId="25" fillId="3" borderId="13" xfId="0" quotePrefix="1" applyNumberFormat="1" applyFont="1" applyFill="1" applyBorder="1" applyAlignment="1">
      <alignment horizontal="left" vertical="center" indent="1"/>
    </xf>
    <xf numFmtId="3" fontId="24" fillId="3" borderId="15" xfId="0" quotePrefix="1" applyNumberFormat="1" applyFont="1" applyFill="1" applyBorder="1" applyAlignment="1">
      <alignment horizontal="left" vertical="center" indent="1"/>
    </xf>
    <xf numFmtId="3" fontId="25" fillId="3" borderId="16" xfId="0" applyNumberFormat="1" applyFont="1" applyFill="1" applyBorder="1" applyAlignment="1">
      <alignment horizontal="right" vertical="center"/>
    </xf>
    <xf numFmtId="3" fontId="25" fillId="20" borderId="104" xfId="0" applyNumberFormat="1" applyFont="1" applyFill="1" applyBorder="1" applyAlignment="1">
      <alignment horizontal="right" vertical="center"/>
    </xf>
    <xf numFmtId="3" fontId="25" fillId="20" borderId="105" xfId="0" applyNumberFormat="1" applyFont="1" applyFill="1" applyBorder="1" applyAlignment="1">
      <alignment horizontal="right" vertical="center"/>
    </xf>
    <xf numFmtId="3" fontId="46" fillId="20" borderId="13" xfId="2" quotePrefix="1" applyNumberFormat="1" applyFont="1" applyFill="1" applyBorder="1" applyAlignment="1">
      <alignment horizontal="center" vertical="center"/>
    </xf>
    <xf numFmtId="3" fontId="46" fillId="20" borderId="15" xfId="2" quotePrefix="1" applyNumberFormat="1" applyFont="1" applyFill="1" applyBorder="1" applyAlignment="1">
      <alignment horizontal="center" vertical="center"/>
    </xf>
    <xf numFmtId="3" fontId="46" fillId="20" borderId="16" xfId="2" quotePrefix="1" applyNumberFormat="1" applyFont="1" applyFill="1" applyBorder="1" applyAlignment="1">
      <alignment horizontal="center" vertical="center"/>
    </xf>
    <xf numFmtId="0" fontId="31" fillId="0" borderId="15" xfId="0" applyFont="1" applyBorder="1"/>
    <xf numFmtId="3" fontId="25" fillId="0" borderId="15" xfId="0" applyNumberFormat="1" applyFont="1" applyFill="1" applyBorder="1" applyAlignment="1">
      <alignment horizontal="left" vertical="top" readingOrder="1"/>
    </xf>
    <xf numFmtId="3" fontId="25" fillId="0" borderId="15" xfId="2" quotePrefix="1" applyNumberFormat="1" applyFont="1" applyFill="1" applyBorder="1" applyAlignment="1">
      <alignment horizontal="center" vertical="center"/>
    </xf>
    <xf numFmtId="3" fontId="24" fillId="3" borderId="26" xfId="0" applyNumberFormat="1" applyFont="1" applyFill="1" applyBorder="1" applyAlignment="1">
      <alignment horizontal="right" vertical="center"/>
    </xf>
    <xf numFmtId="3" fontId="24" fillId="3" borderId="30" xfId="0" applyNumberFormat="1" applyFont="1" applyFill="1" applyBorder="1" applyAlignment="1">
      <alignment horizontal="right" vertical="center"/>
    </xf>
    <xf numFmtId="3" fontId="35" fillId="0" borderId="15" xfId="0" applyNumberFormat="1" applyFont="1" applyFill="1" applyBorder="1" applyAlignment="1">
      <alignment vertical="center" wrapText="1"/>
    </xf>
    <xf numFmtId="3" fontId="25" fillId="18" borderId="15" xfId="0" applyNumberFormat="1" applyFont="1" applyFill="1" applyBorder="1" applyAlignment="1">
      <alignment horizontal="center" vertical="center"/>
    </xf>
    <xf numFmtId="3" fontId="24" fillId="18" borderId="15" xfId="2" quotePrefix="1" applyNumberFormat="1" applyFont="1" applyFill="1" applyBorder="1" applyAlignment="1">
      <alignment horizontal="center" vertical="center"/>
    </xf>
    <xf numFmtId="3" fontId="14" fillId="5" borderId="15" xfId="0" applyNumberFormat="1" applyFont="1" applyFill="1" applyBorder="1" applyAlignment="1">
      <alignment horizontal="center" vertical="center"/>
    </xf>
    <xf numFmtId="3" fontId="24" fillId="5" borderId="15" xfId="2" quotePrefix="1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25" fillId="3" borderId="15" xfId="0" applyNumberFormat="1" applyFont="1" applyFill="1" applyBorder="1" applyAlignment="1">
      <alignment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left" vertical="center" wrapText="1"/>
    </xf>
    <xf numFmtId="3" fontId="25" fillId="5" borderId="15" xfId="0" applyNumberFormat="1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3" fontId="14" fillId="3" borderId="13" xfId="0" applyNumberFormat="1" applyFont="1" applyFill="1" applyBorder="1" applyAlignment="1">
      <alignment vertical="center" wrapText="1"/>
    </xf>
    <xf numFmtId="3" fontId="14" fillId="0" borderId="13" xfId="0" applyNumberFormat="1" applyFont="1" applyBorder="1" applyAlignment="1">
      <alignment vertical="center" wrapText="1"/>
    </xf>
    <xf numFmtId="3" fontId="14" fillId="3" borderId="15" xfId="0" applyNumberFormat="1" applyFont="1" applyFill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Alignment="1"/>
    <xf numFmtId="3" fontId="0" fillId="0" borderId="0" xfId="0" applyNumberFormat="1" applyFont="1"/>
    <xf numFmtId="3" fontId="0" fillId="0" borderId="0" xfId="0" applyNumberFormat="1" applyFont="1" applyAlignment="1"/>
    <xf numFmtId="1" fontId="12" fillId="3" borderId="0" xfId="2" applyNumberFormat="1" applyFont="1" applyFill="1" applyAlignment="1">
      <alignment horizontal="right" vertical="center"/>
    </xf>
    <xf numFmtId="3" fontId="19" fillId="3" borderId="0" xfId="2" applyNumberFormat="1" applyFont="1" applyFill="1" applyBorder="1" applyAlignment="1">
      <alignment vertical="center"/>
    </xf>
    <xf numFmtId="3" fontId="58" fillId="3" borderId="0" xfId="2" applyNumberFormat="1" applyFont="1" applyFill="1" applyBorder="1" applyAlignment="1">
      <alignment vertical="center"/>
    </xf>
    <xf numFmtId="4" fontId="19" fillId="3" borderId="0" xfId="2" applyNumberFormat="1" applyFont="1" applyFill="1" applyBorder="1" applyAlignment="1">
      <alignment horizontal="right" vertical="center"/>
    </xf>
    <xf numFmtId="3" fontId="19" fillId="3" borderId="18" xfId="2" applyNumberFormat="1" applyFont="1" applyFill="1" applyBorder="1" applyAlignment="1">
      <alignment horizontal="right" vertical="center"/>
    </xf>
    <xf numFmtId="4" fontId="19" fillId="3" borderId="18" xfId="2" applyNumberFormat="1" applyFont="1" applyFill="1" applyBorder="1" applyAlignment="1">
      <alignment horizontal="right" vertical="center"/>
    </xf>
    <xf numFmtId="3" fontId="20" fillId="7" borderId="44" xfId="2" applyNumberFormat="1" applyFont="1" applyFill="1" applyBorder="1" applyAlignment="1">
      <alignment horizontal="left" vertical="center"/>
    </xf>
    <xf numFmtId="3" fontId="20" fillId="7" borderId="5" xfId="2" applyNumberFormat="1" applyFont="1" applyFill="1" applyBorder="1" applyAlignment="1">
      <alignment horizontal="center" vertical="center" wrapText="1"/>
    </xf>
    <xf numFmtId="4" fontId="20" fillId="7" borderId="21" xfId="2" applyNumberFormat="1" applyFont="1" applyFill="1" applyBorder="1" applyAlignment="1">
      <alignment horizontal="right" vertical="center"/>
    </xf>
    <xf numFmtId="3" fontId="20" fillId="7" borderId="82" xfId="2" quotePrefix="1" applyNumberFormat="1" applyFont="1" applyFill="1" applyBorder="1" applyAlignment="1">
      <alignment horizontal="center" vertical="center"/>
    </xf>
    <xf numFmtId="3" fontId="20" fillId="7" borderId="38" xfId="2" quotePrefix="1" applyNumberFormat="1" applyFont="1" applyFill="1" applyBorder="1" applyAlignment="1">
      <alignment horizontal="center" vertical="center"/>
    </xf>
    <xf numFmtId="3" fontId="49" fillId="7" borderId="44" xfId="2" applyNumberFormat="1" applyFont="1" applyFill="1" applyBorder="1" applyAlignment="1">
      <alignment horizontal="left" vertical="center" indent="2"/>
    </xf>
    <xf numFmtId="3" fontId="46" fillId="7" borderId="44" xfId="2" quotePrefix="1" applyNumberFormat="1" applyFont="1" applyFill="1" applyBorder="1" applyAlignment="1">
      <alignment horizontal="center" vertical="center"/>
    </xf>
    <xf numFmtId="3" fontId="20" fillId="7" borderId="46" xfId="2" applyNumberFormat="1" applyFont="1" applyFill="1" applyBorder="1" applyAlignment="1">
      <alignment horizontal="center" vertical="center" wrapText="1"/>
    </xf>
    <xf numFmtId="3" fontId="39" fillId="7" borderId="46" xfId="0" applyNumberFormat="1" applyFont="1" applyFill="1" applyBorder="1" applyAlignment="1">
      <alignment horizontal="center" vertical="center" wrapText="1"/>
    </xf>
    <xf numFmtId="4" fontId="20" fillId="7" borderId="47" xfId="2" applyNumberFormat="1" applyFont="1" applyFill="1" applyBorder="1" applyAlignment="1">
      <alignment horizontal="right" vertical="center"/>
    </xf>
    <xf numFmtId="3" fontId="46" fillId="7" borderId="38" xfId="2" quotePrefix="1" applyNumberFormat="1" applyFont="1" applyFill="1" applyBorder="1" applyAlignment="1">
      <alignment horizontal="center" vertical="center"/>
    </xf>
    <xf numFmtId="3" fontId="39" fillId="7" borderId="5" xfId="0" applyNumberFormat="1" applyFont="1" applyFill="1" applyBorder="1" applyAlignment="1">
      <alignment horizontal="center" vertical="center" wrapText="1"/>
    </xf>
    <xf numFmtId="3" fontId="49" fillId="3" borderId="12" xfId="2" applyNumberFormat="1" applyFont="1" applyFill="1" applyBorder="1" applyAlignment="1">
      <alignment horizontal="left" vertical="center"/>
    </xf>
    <xf numFmtId="3" fontId="20" fillId="3" borderId="10" xfId="2" applyNumberFormat="1" applyFont="1" applyFill="1" applyBorder="1" applyAlignment="1">
      <alignment horizontal="center" vertical="center" wrapText="1"/>
    </xf>
    <xf numFmtId="3" fontId="39" fillId="3" borderId="10" xfId="0" applyNumberFormat="1" applyFont="1" applyFill="1" applyBorder="1" applyAlignment="1">
      <alignment horizontal="center" vertical="center" wrapText="1"/>
    </xf>
    <xf numFmtId="4" fontId="20" fillId="3" borderId="19" xfId="2" applyNumberFormat="1" applyFont="1" applyFill="1" applyBorder="1" applyAlignment="1">
      <alignment horizontal="right" vertical="center"/>
    </xf>
    <xf numFmtId="3" fontId="46" fillId="3" borderId="14" xfId="2" quotePrefix="1" applyNumberFormat="1" applyFont="1" applyFill="1" applyBorder="1" applyAlignment="1">
      <alignment horizontal="center" vertical="center"/>
    </xf>
    <xf numFmtId="3" fontId="28" fillId="3" borderId="13" xfId="2" applyNumberFormat="1" applyFont="1" applyFill="1" applyBorder="1" applyAlignment="1">
      <alignment horizontal="left" vertical="center" indent="2"/>
    </xf>
    <xf numFmtId="3" fontId="39" fillId="3" borderId="9" xfId="0" applyNumberFormat="1" applyFont="1" applyFill="1" applyBorder="1" applyAlignment="1">
      <alignment horizontal="center" vertical="center" wrapText="1"/>
    </xf>
    <xf numFmtId="3" fontId="20" fillId="3" borderId="9" xfId="2" applyNumberFormat="1" applyFont="1" applyFill="1" applyBorder="1" applyAlignment="1">
      <alignment horizontal="center" vertical="center" wrapText="1"/>
    </xf>
    <xf numFmtId="3" fontId="122" fillId="3" borderId="13" xfId="0" applyNumberFormat="1" applyFont="1" applyFill="1" applyBorder="1" applyAlignment="1">
      <alignment horizontal="center" vertical="center" wrapText="1"/>
    </xf>
    <xf numFmtId="4" fontId="20" fillId="3" borderId="20" xfId="2" applyNumberFormat="1" applyFont="1" applyFill="1" applyBorder="1" applyAlignment="1">
      <alignment horizontal="right" vertical="center"/>
    </xf>
    <xf numFmtId="3" fontId="39" fillId="3" borderId="16" xfId="0" applyNumberFormat="1" applyFont="1" applyFill="1" applyBorder="1" applyAlignment="1">
      <alignment horizontal="center" vertical="center" wrapText="1"/>
    </xf>
    <xf numFmtId="3" fontId="122" fillId="3" borderId="15" xfId="0" applyNumberFormat="1" applyFont="1" applyFill="1" applyBorder="1" applyAlignment="1">
      <alignment horizontal="center" vertical="center" wrapText="1"/>
    </xf>
    <xf numFmtId="3" fontId="39" fillId="3" borderId="15" xfId="0" applyNumberFormat="1" applyFont="1" applyFill="1" applyBorder="1" applyAlignment="1">
      <alignment horizontal="center" vertical="center" wrapText="1"/>
    </xf>
    <xf numFmtId="3" fontId="39" fillId="3" borderId="5" xfId="0" applyNumberFormat="1" applyFont="1" applyFill="1" applyBorder="1" applyAlignment="1">
      <alignment horizontal="center" vertical="center" wrapText="1"/>
    </xf>
    <xf numFmtId="3" fontId="39" fillId="3" borderId="14" xfId="0" applyNumberFormat="1" applyFont="1" applyFill="1" applyBorder="1" applyAlignment="1">
      <alignment horizontal="center" vertical="center" wrapText="1"/>
    </xf>
    <xf numFmtId="4" fontId="20" fillId="3" borderId="21" xfId="2" applyNumberFormat="1" applyFont="1" applyFill="1" applyBorder="1" applyAlignment="1">
      <alignment horizontal="right" vertical="center"/>
    </xf>
    <xf numFmtId="3" fontId="34" fillId="3" borderId="13" xfId="2" applyNumberFormat="1" applyFont="1" applyFill="1" applyBorder="1" applyAlignment="1">
      <alignment horizontal="left" vertical="center" indent="1"/>
    </xf>
    <xf numFmtId="3" fontId="39" fillId="3" borderId="13" xfId="0" applyNumberFormat="1" applyFont="1" applyFill="1" applyBorder="1" applyAlignment="1">
      <alignment horizontal="center" vertical="center" wrapText="1"/>
    </xf>
    <xf numFmtId="4" fontId="20" fillId="3" borderId="56" xfId="2" applyNumberFormat="1" applyFont="1" applyFill="1" applyBorder="1" applyAlignment="1">
      <alignment horizontal="right" vertical="center"/>
    </xf>
    <xf numFmtId="3" fontId="34" fillId="3" borderId="12" xfId="2" applyNumberFormat="1" applyFont="1" applyFill="1" applyBorder="1" applyAlignment="1">
      <alignment horizontal="left" vertical="center" indent="1"/>
    </xf>
    <xf numFmtId="3" fontId="39" fillId="3" borderId="12" xfId="0" applyNumberFormat="1" applyFont="1" applyFill="1" applyBorder="1" applyAlignment="1">
      <alignment horizontal="center" vertical="center" wrapText="1"/>
    </xf>
    <xf numFmtId="4" fontId="20" fillId="3" borderId="55" xfId="2" applyNumberFormat="1" applyFont="1" applyFill="1" applyBorder="1" applyAlignment="1">
      <alignment horizontal="right" vertical="center"/>
    </xf>
    <xf numFmtId="3" fontId="10" fillId="3" borderId="13" xfId="2" applyNumberFormat="1" applyFont="1" applyFill="1" applyBorder="1" applyAlignment="1">
      <alignment horizontal="left" vertical="center" wrapText="1"/>
    </xf>
    <xf numFmtId="3" fontId="46" fillId="3" borderId="5" xfId="2" quotePrefix="1" applyNumberFormat="1" applyFont="1" applyFill="1" applyBorder="1" applyAlignment="1">
      <alignment horizontal="center" vertical="center"/>
    </xf>
    <xf numFmtId="49" fontId="10" fillId="3" borderId="9" xfId="2" applyNumberFormat="1" applyFont="1" applyFill="1" applyBorder="1" applyAlignment="1">
      <alignment horizontal="center" vertical="center"/>
    </xf>
    <xf numFmtId="3" fontId="18" fillId="3" borderId="9" xfId="2" applyNumberFormat="1" applyFont="1" applyFill="1" applyBorder="1" applyAlignment="1">
      <alignment horizontal="left" vertical="center" indent="1"/>
    </xf>
    <xf numFmtId="49" fontId="10" fillId="3" borderId="0" xfId="2" applyNumberFormat="1" applyFont="1" applyFill="1" applyBorder="1" applyAlignment="1">
      <alignment horizontal="center" vertical="center"/>
    </xf>
    <xf numFmtId="3" fontId="18" fillId="3" borderId="15" xfId="2" applyNumberFormat="1" applyFont="1" applyFill="1" applyBorder="1" applyAlignment="1">
      <alignment horizontal="center" vertical="center"/>
    </xf>
    <xf numFmtId="3" fontId="20" fillId="6" borderId="69" xfId="2" applyNumberFormat="1" applyFont="1" applyFill="1" applyBorder="1" applyAlignment="1">
      <alignment horizontal="right" vertical="center"/>
    </xf>
    <xf numFmtId="3" fontId="20" fillId="6" borderId="22" xfId="2" applyNumberFormat="1" applyFont="1" applyFill="1" applyBorder="1" applyAlignment="1">
      <alignment horizontal="right" vertical="center"/>
    </xf>
    <xf numFmtId="3" fontId="20" fillId="6" borderId="69" xfId="2" applyNumberFormat="1" applyFont="1" applyFill="1" applyBorder="1" applyAlignment="1">
      <alignment vertical="center"/>
    </xf>
    <xf numFmtId="4" fontId="20" fillId="6" borderId="51" xfId="2" applyNumberFormat="1" applyFont="1" applyFill="1" applyBorder="1" applyAlignment="1">
      <alignment horizontal="right" vertical="center"/>
    </xf>
    <xf numFmtId="1" fontId="11" fillId="6" borderId="82" xfId="2" applyNumberFormat="1" applyFont="1" applyFill="1" applyBorder="1" applyAlignment="1">
      <alignment horizontal="right" vertical="center"/>
    </xf>
    <xf numFmtId="3" fontId="46" fillId="6" borderId="82" xfId="2" quotePrefix="1" applyNumberFormat="1" applyFont="1" applyFill="1" applyBorder="1" applyAlignment="1">
      <alignment horizontal="center" vertical="center"/>
    </xf>
    <xf numFmtId="3" fontId="20" fillId="6" borderId="82" xfId="2" applyNumberFormat="1" applyFont="1" applyFill="1" applyBorder="1" applyAlignment="1">
      <alignment vertical="center"/>
    </xf>
    <xf numFmtId="3" fontId="9" fillId="6" borderId="82" xfId="2" applyNumberFormat="1" applyFont="1" applyFill="1" applyBorder="1" applyAlignment="1">
      <alignment vertical="center"/>
    </xf>
    <xf numFmtId="3" fontId="48" fillId="6" borderId="82" xfId="2" applyNumberFormat="1" applyFont="1" applyFill="1" applyBorder="1" applyAlignment="1">
      <alignment horizontal="center" vertical="center"/>
    </xf>
    <xf numFmtId="3" fontId="28" fillId="6" borderId="82" xfId="2" applyNumberFormat="1" applyFont="1" applyFill="1" applyBorder="1" applyAlignment="1">
      <alignment horizontal="center" vertical="center"/>
    </xf>
    <xf numFmtId="3" fontId="28" fillId="6" borderId="51" xfId="2" applyNumberFormat="1" applyFont="1" applyFill="1" applyBorder="1" applyAlignment="1">
      <alignment vertical="center"/>
    </xf>
    <xf numFmtId="3" fontId="46" fillId="6" borderId="82" xfId="2" quotePrefix="1" applyNumberFormat="1" applyFont="1" applyFill="1" applyBorder="1" applyAlignment="1">
      <alignment horizontal="left" vertical="center"/>
    </xf>
    <xf numFmtId="3" fontId="20" fillId="3" borderId="16" xfId="2" applyNumberFormat="1" applyFont="1" applyFill="1" applyBorder="1" applyAlignment="1">
      <alignment vertical="center" shrinkToFit="1"/>
    </xf>
    <xf numFmtId="3" fontId="18" fillId="3" borderId="33" xfId="2" applyNumberFormat="1" applyFont="1" applyFill="1" applyBorder="1" applyAlignment="1">
      <alignment horizontal="right" vertical="center"/>
    </xf>
    <xf numFmtId="3" fontId="18" fillId="3" borderId="58" xfId="2" applyNumberFormat="1" applyFont="1" applyFill="1" applyBorder="1" applyAlignment="1">
      <alignment horizontal="right" vertical="center"/>
    </xf>
    <xf numFmtId="3" fontId="20" fillId="3" borderId="13" xfId="2" applyNumberFormat="1" applyFont="1" applyFill="1" applyBorder="1" applyAlignment="1">
      <alignment horizontal="left"/>
    </xf>
    <xf numFmtId="3" fontId="20" fillId="3" borderId="15" xfId="3" applyNumberFormat="1" applyFont="1" applyFill="1" applyBorder="1" applyAlignment="1">
      <alignment vertical="center"/>
    </xf>
    <xf numFmtId="3" fontId="9" fillId="0" borderId="0" xfId="2" applyNumberFormat="1" applyFont="1" applyFill="1" applyAlignment="1">
      <alignment vertical="center"/>
    </xf>
    <xf numFmtId="3" fontId="20" fillId="10" borderId="13" xfId="2" applyNumberFormat="1" applyFont="1" applyFill="1" applyBorder="1" applyAlignment="1">
      <alignment horizontal="left"/>
    </xf>
    <xf numFmtId="3" fontId="20" fillId="10" borderId="15" xfId="2" applyNumberFormat="1" applyFont="1" applyFill="1" applyBorder="1" applyAlignment="1">
      <alignment horizontal="right" vertical="center"/>
    </xf>
    <xf numFmtId="3" fontId="20" fillId="10" borderId="15" xfId="2" applyNumberFormat="1" applyFont="1" applyFill="1" applyBorder="1" applyAlignment="1">
      <alignment vertical="center"/>
    </xf>
    <xf numFmtId="4" fontId="20" fillId="10" borderId="54" xfId="2" applyNumberFormat="1" applyFont="1" applyFill="1" applyBorder="1" applyAlignment="1">
      <alignment horizontal="right" vertical="center"/>
    </xf>
    <xf numFmtId="0" fontId="18" fillId="0" borderId="15" xfId="0" applyFont="1" applyBorder="1"/>
    <xf numFmtId="0" fontId="18" fillId="3" borderId="15" xfId="0" applyFont="1" applyFill="1" applyBorder="1"/>
    <xf numFmtId="3" fontId="20" fillId="3" borderId="9" xfId="2" applyNumberFormat="1" applyFont="1" applyFill="1" applyBorder="1" applyAlignment="1">
      <alignment vertical="center"/>
    </xf>
    <xf numFmtId="3" fontId="20" fillId="12" borderId="15" xfId="2" applyNumberFormat="1" applyFont="1" applyFill="1" applyBorder="1" applyAlignment="1">
      <alignment horizontal="left" wrapText="1"/>
    </xf>
    <xf numFmtId="4" fontId="20" fillId="12" borderId="15" xfId="2" applyNumberFormat="1" applyFont="1" applyFill="1" applyBorder="1" applyAlignment="1">
      <alignment horizontal="right" vertical="center"/>
    </xf>
    <xf numFmtId="4" fontId="20" fillId="12" borderId="50" xfId="2" applyNumberFormat="1" applyFont="1" applyFill="1" applyBorder="1" applyAlignment="1">
      <alignment horizontal="right" vertical="center"/>
    </xf>
    <xf numFmtId="4" fontId="20" fillId="12" borderId="53" xfId="2" applyNumberFormat="1" applyFont="1" applyFill="1" applyBorder="1" applyAlignment="1">
      <alignment horizontal="right" vertical="center"/>
    </xf>
    <xf numFmtId="4" fontId="20" fillId="12" borderId="20" xfId="2" applyNumberFormat="1" applyFont="1" applyFill="1" applyBorder="1" applyAlignment="1">
      <alignment horizontal="right" vertical="center"/>
    </xf>
    <xf numFmtId="3" fontId="18" fillId="3" borderId="13" xfId="2" applyNumberFormat="1" applyFont="1" applyFill="1" applyBorder="1" applyAlignment="1">
      <alignment horizontal="left"/>
    </xf>
    <xf numFmtId="3" fontId="20" fillId="10" borderId="82" xfId="2" applyNumberFormat="1" applyFont="1" applyFill="1" applyBorder="1" applyAlignment="1">
      <alignment horizontal="left"/>
    </xf>
    <xf numFmtId="3" fontId="20" fillId="10" borderId="82" xfId="2" applyNumberFormat="1" applyFont="1" applyFill="1" applyBorder="1" applyAlignment="1">
      <alignment vertical="center"/>
    </xf>
    <xf numFmtId="4" fontId="20" fillId="10" borderId="82" xfId="2" applyNumberFormat="1" applyFont="1" applyFill="1" applyBorder="1" applyAlignment="1">
      <alignment horizontal="right" vertical="center"/>
    </xf>
    <xf numFmtId="3" fontId="46" fillId="10" borderId="82" xfId="2" quotePrefix="1" applyNumberFormat="1" applyFont="1" applyFill="1" applyBorder="1" applyAlignment="1">
      <alignment horizontal="center" vertical="center"/>
    </xf>
    <xf numFmtId="2" fontId="20" fillId="10" borderId="82" xfId="2" applyNumberFormat="1" applyFont="1" applyFill="1" applyBorder="1" applyAlignment="1">
      <alignment horizontal="right" vertical="center"/>
    </xf>
    <xf numFmtId="3" fontId="18" fillId="3" borderId="74" xfId="2" quotePrefix="1" applyNumberFormat="1" applyFont="1" applyFill="1" applyBorder="1" applyAlignment="1">
      <alignment horizontal="left" vertical="center"/>
    </xf>
    <xf numFmtId="2" fontId="20" fillId="6" borderId="82" xfId="2" applyNumberFormat="1" applyFont="1" applyFill="1" applyBorder="1" applyAlignment="1">
      <alignment horizontal="right" vertical="center"/>
    </xf>
    <xf numFmtId="2" fontId="49" fillId="6" borderId="82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horizontal="left" vertical="center" wrapText="1" indent="1"/>
    </xf>
    <xf numFmtId="164" fontId="18" fillId="3" borderId="54" xfId="0" applyNumberFormat="1" applyFont="1" applyFill="1" applyBorder="1" applyAlignment="1">
      <alignment horizontal="left" vertical="center"/>
    </xf>
    <xf numFmtId="164" fontId="18" fillId="3" borderId="53" xfId="0" applyNumberFormat="1" applyFont="1" applyFill="1" applyBorder="1" applyAlignment="1">
      <alignment horizontal="left" vertical="center"/>
    </xf>
    <xf numFmtId="164" fontId="18" fillId="3" borderId="15" xfId="2" applyNumberFormat="1" applyFont="1" applyFill="1" applyBorder="1" applyAlignment="1">
      <alignment horizontal="right" vertical="center"/>
    </xf>
    <xf numFmtId="164" fontId="18" fillId="0" borderId="15" xfId="2" applyNumberFormat="1" applyFont="1" applyFill="1" applyBorder="1" applyAlignment="1">
      <alignment vertical="center"/>
    </xf>
    <xf numFmtId="164" fontId="18" fillId="3" borderId="54" xfId="2" applyNumberFormat="1" applyFont="1" applyFill="1" applyBorder="1" applyAlignment="1">
      <alignment horizontal="right" vertical="center"/>
    </xf>
    <xf numFmtId="164" fontId="18" fillId="0" borderId="16" xfId="2" applyNumberFormat="1" applyFont="1" applyFill="1" applyBorder="1" applyAlignment="1">
      <alignment vertical="center"/>
    </xf>
    <xf numFmtId="4" fontId="18" fillId="3" borderId="54" xfId="2" applyNumberFormat="1" applyFont="1" applyFill="1" applyBorder="1" applyAlignment="1">
      <alignment horizontal="right" vertical="center"/>
    </xf>
    <xf numFmtId="4" fontId="18" fillId="3" borderId="53" xfId="2" applyNumberFormat="1" applyFont="1" applyFill="1" applyBorder="1" applyAlignment="1">
      <alignment horizontal="right" vertical="center"/>
    </xf>
    <xf numFmtId="3" fontId="18" fillId="3" borderId="5" xfId="2" applyNumberFormat="1" applyFont="1" applyFill="1" applyBorder="1" applyAlignment="1">
      <alignment horizontal="right" vertical="center"/>
    </xf>
    <xf numFmtId="3" fontId="18" fillId="3" borderId="5" xfId="2" applyNumberFormat="1" applyFont="1" applyFill="1" applyBorder="1" applyAlignment="1">
      <alignment vertical="center"/>
    </xf>
    <xf numFmtId="4" fontId="18" fillId="3" borderId="20" xfId="2" applyNumberFormat="1" applyFont="1" applyFill="1" applyBorder="1" applyAlignment="1">
      <alignment horizontal="right" vertical="center"/>
    </xf>
    <xf numFmtId="3" fontId="20" fillId="6" borderId="5" xfId="2" applyNumberFormat="1" applyFont="1" applyFill="1" applyBorder="1" applyAlignment="1">
      <alignment horizontal="right" vertical="center"/>
    </xf>
    <xf numFmtId="4" fontId="20" fillId="6" borderId="47" xfId="2" applyNumberFormat="1" applyFont="1" applyFill="1" applyBorder="1" applyAlignment="1">
      <alignment horizontal="right" vertical="center"/>
    </xf>
    <xf numFmtId="3" fontId="20" fillId="6" borderId="89" xfId="2" applyNumberFormat="1" applyFont="1" applyFill="1" applyBorder="1" applyAlignment="1">
      <alignment horizontal="right" vertical="center"/>
    </xf>
    <xf numFmtId="4" fontId="20" fillId="6" borderId="82" xfId="2" applyNumberFormat="1" applyFont="1" applyFill="1" applyBorder="1" applyAlignment="1">
      <alignment horizontal="right" vertical="center"/>
    </xf>
    <xf numFmtId="164" fontId="20" fillId="22" borderId="82" xfId="2" applyNumberFormat="1" applyFont="1" applyFill="1" applyBorder="1" applyAlignment="1">
      <alignment horizontal="right" vertical="center"/>
    </xf>
    <xf numFmtId="3" fontId="20" fillId="22" borderId="82" xfId="2" applyNumberFormat="1" applyFont="1" applyFill="1" applyBorder="1" applyAlignment="1">
      <alignment vertical="center"/>
    </xf>
    <xf numFmtId="4" fontId="20" fillId="22" borderId="82" xfId="2" applyNumberFormat="1" applyFont="1" applyFill="1" applyBorder="1" applyAlignment="1">
      <alignment horizontal="right" vertical="center"/>
    </xf>
    <xf numFmtId="3" fontId="49" fillId="22" borderId="82" xfId="2" quotePrefix="1" applyNumberFormat="1" applyFont="1" applyFill="1" applyBorder="1" applyAlignment="1">
      <alignment horizontal="center" vertical="center"/>
    </xf>
    <xf numFmtId="3" fontId="49" fillId="22" borderId="82" xfId="2" applyNumberFormat="1" applyFont="1" applyFill="1" applyBorder="1" applyAlignment="1">
      <alignment vertical="center"/>
    </xf>
    <xf numFmtId="4" fontId="46" fillId="22" borderId="82" xfId="2" applyNumberFormat="1" applyFont="1" applyFill="1" applyBorder="1" applyAlignment="1">
      <alignment vertical="center"/>
    </xf>
    <xf numFmtId="3" fontId="46" fillId="22" borderId="82" xfId="2" quotePrefix="1" applyNumberFormat="1" applyFont="1" applyFill="1" applyBorder="1" applyAlignment="1">
      <alignment horizontal="center" vertical="center"/>
    </xf>
    <xf numFmtId="3" fontId="46" fillId="22" borderId="79" xfId="2" quotePrefix="1" applyNumberFormat="1" applyFont="1" applyFill="1" applyBorder="1" applyAlignment="1">
      <alignment horizontal="center" vertical="center"/>
    </xf>
    <xf numFmtId="3" fontId="46" fillId="22" borderId="79" xfId="2" applyNumberFormat="1" applyFont="1" applyFill="1" applyBorder="1" applyAlignment="1">
      <alignment vertical="center"/>
    </xf>
    <xf numFmtId="3" fontId="20" fillId="22" borderId="79" xfId="2" applyNumberFormat="1" applyFont="1" applyFill="1" applyBorder="1" applyAlignment="1">
      <alignment vertical="center"/>
    </xf>
    <xf numFmtId="49" fontId="10" fillId="4" borderId="120" xfId="2" applyNumberFormat="1" applyFont="1" applyFill="1" applyBorder="1" applyAlignment="1">
      <alignment vertical="center"/>
    </xf>
    <xf numFmtId="1" fontId="10" fillId="4" borderId="15" xfId="2" applyNumberFormat="1" applyFont="1" applyFill="1" applyBorder="1" applyAlignment="1">
      <alignment horizontal="right" vertical="center"/>
    </xf>
    <xf numFmtId="3" fontId="49" fillId="4" borderId="15" xfId="2" quotePrefix="1" applyNumberFormat="1" applyFont="1" applyFill="1" applyBorder="1" applyAlignment="1">
      <alignment horizontal="center" vertical="center"/>
    </xf>
    <xf numFmtId="166" fontId="20" fillId="4" borderId="124" xfId="2" applyNumberFormat="1" applyFont="1" applyFill="1" applyBorder="1" applyAlignment="1">
      <alignment vertical="center"/>
    </xf>
    <xf numFmtId="49" fontId="10" fillId="4" borderId="125" xfId="2" applyNumberFormat="1" applyFont="1" applyFill="1" applyBorder="1" applyAlignment="1">
      <alignment vertical="center"/>
    </xf>
    <xf numFmtId="1" fontId="10" fillId="4" borderId="126" xfId="2" applyNumberFormat="1" applyFont="1" applyFill="1" applyBorder="1" applyAlignment="1">
      <alignment horizontal="right" vertical="center"/>
    </xf>
    <xf numFmtId="3" fontId="49" fillId="4" borderId="126" xfId="2" quotePrefix="1" applyNumberFormat="1" applyFont="1" applyFill="1" applyBorder="1" applyAlignment="1">
      <alignment horizontal="center" vertical="center"/>
    </xf>
    <xf numFmtId="49" fontId="10" fillId="0" borderId="0" xfId="2" applyNumberFormat="1" applyFont="1" applyFill="1" applyAlignment="1">
      <alignment vertical="center"/>
    </xf>
    <xf numFmtId="1" fontId="9" fillId="0" borderId="0" xfId="2" applyNumberFormat="1" applyFont="1" applyFill="1" applyAlignment="1">
      <alignment horizontal="right" vertical="center"/>
    </xf>
    <xf numFmtId="2" fontId="18" fillId="0" borderId="0" xfId="2" applyNumberFormat="1" applyFont="1" applyFill="1" applyAlignment="1">
      <alignment vertical="center"/>
    </xf>
    <xf numFmtId="2" fontId="20" fillId="0" borderId="0" xfId="2" applyNumberFormat="1" applyFont="1" applyFill="1" applyAlignment="1">
      <alignment horizontal="right" vertical="center"/>
    </xf>
    <xf numFmtId="1" fontId="12" fillId="0" borderId="0" xfId="2" applyNumberFormat="1" applyFont="1" applyFill="1" applyAlignment="1">
      <alignment horizontal="right" vertical="center"/>
    </xf>
    <xf numFmtId="3" fontId="19" fillId="0" borderId="0" xfId="2" applyNumberFormat="1" applyFont="1" applyFill="1" applyAlignment="1">
      <alignment vertical="center"/>
    </xf>
    <xf numFmtId="2" fontId="19" fillId="0" borderId="0" xfId="2" applyNumberFormat="1" applyFont="1" applyFill="1" applyAlignment="1">
      <alignment horizontal="right" vertical="center"/>
    </xf>
    <xf numFmtId="0" fontId="66" fillId="3" borderId="0" xfId="0" applyFont="1" applyFill="1" applyAlignment="1">
      <alignment horizontal="left"/>
    </xf>
    <xf numFmtId="16" fontId="9" fillId="3" borderId="0" xfId="0" quotePrefix="1" applyNumberFormat="1" applyFont="1" applyFill="1" applyAlignment="1">
      <alignment horizontal="center" vertical="top"/>
    </xf>
    <xf numFmtId="0" fontId="45" fillId="3" borderId="0" xfId="0" applyFont="1" applyFill="1" applyAlignment="1">
      <alignment horizontal="center" vertical="center"/>
    </xf>
    <xf numFmtId="0" fontId="44" fillId="3" borderId="0" xfId="0" applyFont="1" applyFill="1" applyBorder="1" applyAlignment="1">
      <alignment vertical="center"/>
    </xf>
    <xf numFmtId="3" fontId="54" fillId="3" borderId="0" xfId="0" applyNumberFormat="1" applyFont="1" applyFill="1" applyBorder="1" applyAlignment="1">
      <alignment vertical="center"/>
    </xf>
    <xf numFmtId="0" fontId="64" fillId="3" borderId="59" xfId="0" applyFont="1" applyFill="1" applyBorder="1" applyAlignment="1">
      <alignment horizontal="left" wrapText="1"/>
    </xf>
    <xf numFmtId="3" fontId="45" fillId="3" borderId="16" xfId="0" applyNumberFormat="1" applyFont="1" applyFill="1" applyBorder="1"/>
    <xf numFmtId="3" fontId="45" fillId="3" borderId="58" xfId="0" applyNumberFormat="1" applyFont="1" applyFill="1" applyBorder="1"/>
    <xf numFmtId="3" fontId="45" fillId="3" borderId="15" xfId="0" applyNumberFormat="1" applyFont="1" applyFill="1" applyBorder="1"/>
    <xf numFmtId="3" fontId="44" fillId="3" borderId="14" xfId="0" applyNumberFormat="1" applyFont="1" applyFill="1" applyBorder="1" applyAlignment="1">
      <alignment horizontal="right" vertical="center"/>
    </xf>
    <xf numFmtId="3" fontId="54" fillId="3" borderId="56" xfId="0" applyNumberFormat="1" applyFont="1" applyFill="1" applyBorder="1" applyAlignment="1">
      <alignment vertical="center"/>
    </xf>
    <xf numFmtId="0" fontId="81" fillId="0" borderId="44" xfId="0" applyFont="1" applyBorder="1" applyAlignment="1">
      <alignment wrapText="1"/>
    </xf>
    <xf numFmtId="0" fontId="81" fillId="0" borderId="47" xfId="0" applyFont="1" applyBorder="1" applyAlignment="1">
      <alignment wrapText="1"/>
    </xf>
    <xf numFmtId="0" fontId="26" fillId="3" borderId="0" xfId="0" applyFont="1" applyFill="1" applyBorder="1" applyAlignment="1">
      <alignment horizontal="center" shrinkToFit="1"/>
    </xf>
    <xf numFmtId="0" fontId="82" fillId="0" borderId="15" xfId="0" applyFont="1" applyBorder="1" applyAlignment="1">
      <alignment wrapText="1"/>
    </xf>
    <xf numFmtId="0" fontId="82" fillId="0" borderId="16" xfId="0" applyFont="1" applyBorder="1" applyAlignment="1">
      <alignment wrapText="1"/>
    </xf>
    <xf numFmtId="0" fontId="81" fillId="0" borderId="15" xfId="0" applyFont="1" applyBorder="1" applyAlignment="1">
      <alignment wrapText="1"/>
    </xf>
    <xf numFmtId="0" fontId="82" fillId="0" borderId="15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39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22" xfId="0" applyFont="1" applyFill="1" applyBorder="1" applyAlignment="1">
      <alignment horizontal="center" vertical="center" shrinkToFit="1"/>
    </xf>
    <xf numFmtId="0" fontId="25" fillId="2" borderId="34" xfId="0" applyFont="1" applyFill="1" applyBorder="1" applyAlignment="1">
      <alignment horizontal="center" vertical="center" shrinkToFit="1"/>
    </xf>
    <xf numFmtId="2" fontId="25" fillId="5" borderId="2" xfId="0" applyNumberFormat="1" applyFont="1" applyFill="1" applyBorder="1" applyAlignment="1">
      <alignment horizontal="center" vertical="center" shrinkToFit="1"/>
    </xf>
    <xf numFmtId="2" fontId="25" fillId="5" borderId="117" xfId="0" applyNumberFormat="1" applyFont="1" applyFill="1" applyBorder="1" applyAlignment="1">
      <alignment horizontal="center" vertical="center" shrinkToFit="1"/>
    </xf>
    <xf numFmtId="2" fontId="25" fillId="0" borderId="15" xfId="0" applyNumberFormat="1" applyFont="1" applyFill="1" applyBorder="1" applyAlignment="1">
      <alignment horizontal="center" shrinkToFit="1"/>
    </xf>
    <xf numFmtId="2" fontId="25" fillId="0" borderId="70" xfId="0" applyNumberFormat="1" applyFont="1" applyFill="1" applyBorder="1" applyAlignment="1">
      <alignment horizontal="center" shrinkToFit="1"/>
    </xf>
    <xf numFmtId="2" fontId="25" fillId="0" borderId="71" xfId="0" applyNumberFormat="1" applyFont="1" applyFill="1" applyBorder="1" applyAlignment="1">
      <alignment horizontal="center" shrinkToFit="1"/>
    </xf>
    <xf numFmtId="0" fontId="25" fillId="5" borderId="67" xfId="0" applyFont="1" applyFill="1" applyBorder="1" applyAlignment="1">
      <alignment horizontal="center" vertical="center" shrinkToFit="1"/>
    </xf>
    <xf numFmtId="0" fontId="25" fillId="5" borderId="12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2" fontId="25" fillId="0" borderId="70" xfId="0" applyNumberFormat="1" applyFont="1" applyFill="1" applyBorder="1" applyAlignment="1">
      <alignment horizontal="center" vertical="center" shrinkToFit="1"/>
    </xf>
    <xf numFmtId="2" fontId="25" fillId="0" borderId="71" xfId="0" applyNumberFormat="1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2" fontId="25" fillId="0" borderId="16" xfId="0" applyNumberFormat="1" applyFont="1" applyFill="1" applyBorder="1" applyAlignment="1">
      <alignment horizontal="center" vertical="center" shrinkToFit="1"/>
    </xf>
    <xf numFmtId="2" fontId="25" fillId="0" borderId="9" xfId="0" applyNumberFormat="1" applyFont="1" applyFill="1" applyBorder="1" applyAlignment="1">
      <alignment horizontal="center" vertical="center" shrinkToFit="1"/>
    </xf>
    <xf numFmtId="2" fontId="25" fillId="0" borderId="13" xfId="0" applyNumberFormat="1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2" fontId="25" fillId="7" borderId="67" xfId="0" applyNumberFormat="1" applyFont="1" applyFill="1" applyBorder="1" applyAlignment="1">
      <alignment horizontal="center" shrinkToFit="1"/>
    </xf>
    <xf numFmtId="2" fontId="25" fillId="7" borderId="12" xfId="0" applyNumberFormat="1" applyFont="1" applyFill="1" applyBorder="1" applyAlignment="1">
      <alignment horizontal="center" shrinkToFit="1"/>
    </xf>
    <xf numFmtId="2" fontId="25" fillId="5" borderId="67" xfId="0" applyNumberFormat="1" applyFont="1" applyFill="1" applyBorder="1" applyAlignment="1">
      <alignment horizontal="center" vertical="center" shrinkToFit="1"/>
    </xf>
    <xf numFmtId="2" fontId="25" fillId="5" borderId="12" xfId="0" applyNumberFormat="1" applyFont="1" applyFill="1" applyBorder="1" applyAlignment="1">
      <alignment horizontal="center" vertical="center" shrinkToFit="1"/>
    </xf>
    <xf numFmtId="2" fontId="25" fillId="0" borderId="13" xfId="0" applyNumberFormat="1" applyFont="1" applyFill="1" applyBorder="1" applyAlignment="1">
      <alignment horizontal="left" vertical="center" wrapText="1" shrinkToFit="1"/>
    </xf>
    <xf numFmtId="0" fontId="24" fillId="7" borderId="66" xfId="0" applyFont="1" applyFill="1" applyBorder="1" applyAlignment="1">
      <alignment horizontal="center" shrinkToFit="1"/>
    </xf>
    <xf numFmtId="0" fontId="24" fillId="7" borderId="38" xfId="0" applyFont="1" applyFill="1" applyBorder="1" applyAlignment="1">
      <alignment horizontal="center" shrinkToFit="1"/>
    </xf>
    <xf numFmtId="0" fontId="24" fillId="7" borderId="43" xfId="0" applyFont="1" applyFill="1" applyBorder="1" applyAlignment="1">
      <alignment horizontal="center" shrinkToFit="1"/>
    </xf>
    <xf numFmtId="3" fontId="35" fillId="0" borderId="16" xfId="0" applyNumberFormat="1" applyFont="1" applyFill="1" applyBorder="1" applyAlignment="1">
      <alignment horizontal="center" vertical="center"/>
    </xf>
    <xf numFmtId="3" fontId="35" fillId="0" borderId="9" xfId="0" applyNumberFormat="1" applyFont="1" applyFill="1" applyBorder="1" applyAlignment="1">
      <alignment horizontal="center" vertical="center"/>
    </xf>
    <xf numFmtId="3" fontId="35" fillId="0" borderId="13" xfId="0" applyNumberFormat="1" applyFont="1" applyFill="1" applyBorder="1" applyAlignment="1">
      <alignment horizontal="center" vertical="center"/>
    </xf>
    <xf numFmtId="3" fontId="22" fillId="6" borderId="16" xfId="0" applyNumberFormat="1" applyFont="1" applyFill="1" applyBorder="1" applyAlignment="1">
      <alignment horizontal="center" vertical="center"/>
    </xf>
    <xf numFmtId="3" fontId="22" fillId="6" borderId="9" xfId="0" applyNumberFormat="1" applyFont="1" applyFill="1" applyBorder="1" applyAlignment="1">
      <alignment horizontal="center" vertical="center"/>
    </xf>
    <xf numFmtId="3" fontId="22" fillId="6" borderId="13" xfId="0" applyNumberFormat="1" applyFont="1" applyFill="1" applyBorder="1" applyAlignment="1">
      <alignment horizontal="center" vertical="center"/>
    </xf>
    <xf numFmtId="3" fontId="22" fillId="6" borderId="61" xfId="0" applyNumberFormat="1" applyFont="1" applyFill="1" applyBorder="1" applyAlignment="1">
      <alignment horizontal="center" vertical="center"/>
    </xf>
    <xf numFmtId="3" fontId="22" fillId="6" borderId="72" xfId="0" applyNumberFormat="1" applyFont="1" applyFill="1" applyBorder="1" applyAlignment="1">
      <alignment horizontal="center" vertical="center"/>
    </xf>
    <xf numFmtId="3" fontId="22" fillId="6" borderId="59" xfId="0" applyNumberFormat="1" applyFont="1" applyFill="1" applyBorder="1" applyAlignment="1">
      <alignment horizontal="center" vertical="center"/>
    </xf>
    <xf numFmtId="3" fontId="22" fillId="6" borderId="30" xfId="0" applyNumberFormat="1" applyFont="1" applyFill="1" applyBorder="1" applyAlignment="1">
      <alignment horizontal="center" vertical="center"/>
    </xf>
    <xf numFmtId="3" fontId="22" fillId="6" borderId="0" xfId="0" applyNumberFormat="1" applyFont="1" applyFill="1" applyBorder="1" applyAlignment="1">
      <alignment horizontal="center" vertical="center"/>
    </xf>
    <xf numFmtId="3" fontId="22" fillId="6" borderId="6" xfId="0" applyNumberFormat="1" applyFont="1" applyFill="1" applyBorder="1" applyAlignment="1">
      <alignment horizontal="center" vertical="center"/>
    </xf>
    <xf numFmtId="3" fontId="22" fillId="6" borderId="52" xfId="0" applyNumberFormat="1" applyFont="1" applyFill="1" applyBorder="1" applyAlignment="1">
      <alignment horizontal="center" vertical="center"/>
    </xf>
    <xf numFmtId="3" fontId="22" fillId="6" borderId="33" xfId="0" applyNumberFormat="1" applyFont="1" applyFill="1" applyBorder="1" applyAlignment="1">
      <alignment horizontal="center" vertical="center"/>
    </xf>
    <xf numFmtId="3" fontId="22" fillId="6" borderId="32" xfId="0" applyNumberFormat="1" applyFont="1" applyFill="1" applyBorder="1" applyAlignment="1">
      <alignment horizontal="center" vertical="center"/>
    </xf>
    <xf numFmtId="3" fontId="12" fillId="8" borderId="61" xfId="0" applyNumberFormat="1" applyFont="1" applyFill="1" applyBorder="1" applyAlignment="1">
      <alignment horizontal="center" vertical="center"/>
    </xf>
    <xf numFmtId="3" fontId="12" fillId="8" borderId="59" xfId="0" applyNumberFormat="1" applyFont="1" applyFill="1" applyBorder="1" applyAlignment="1">
      <alignment horizontal="center" vertical="center"/>
    </xf>
    <xf numFmtId="3" fontId="12" fillId="8" borderId="30" xfId="0" applyNumberFormat="1" applyFont="1" applyFill="1" applyBorder="1" applyAlignment="1">
      <alignment horizontal="center" vertical="center"/>
    </xf>
    <xf numFmtId="3" fontId="12" fillId="8" borderId="6" xfId="0" applyNumberFormat="1" applyFont="1" applyFill="1" applyBorder="1" applyAlignment="1">
      <alignment horizontal="center" vertical="center"/>
    </xf>
    <xf numFmtId="3" fontId="12" fillId="8" borderId="52" xfId="0" applyNumberFormat="1" applyFont="1" applyFill="1" applyBorder="1" applyAlignment="1">
      <alignment horizontal="center" vertical="center"/>
    </xf>
    <xf numFmtId="3" fontId="12" fillId="8" borderId="32" xfId="0" applyNumberFormat="1" applyFont="1" applyFill="1" applyBorder="1" applyAlignment="1">
      <alignment horizontal="center" vertical="center"/>
    </xf>
    <xf numFmtId="3" fontId="22" fillId="10" borderId="15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>
      <alignment horizontal="center" vertical="center"/>
    </xf>
    <xf numFmtId="3" fontId="24" fillId="0" borderId="9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4" fillId="3" borderId="61" xfId="0" applyNumberFormat="1" applyFont="1" applyFill="1" applyBorder="1" applyAlignment="1">
      <alignment horizontal="center" vertical="center"/>
    </xf>
    <xf numFmtId="3" fontId="24" fillId="3" borderId="59" xfId="0" applyNumberFormat="1" applyFont="1" applyFill="1" applyBorder="1" applyAlignment="1">
      <alignment horizontal="center" vertical="center"/>
    </xf>
    <xf numFmtId="3" fontId="24" fillId="3" borderId="30" xfId="0" applyNumberFormat="1" applyFont="1" applyFill="1" applyBorder="1" applyAlignment="1">
      <alignment horizontal="center" vertical="center"/>
    </xf>
    <xf numFmtId="3" fontId="24" fillId="3" borderId="6" xfId="0" applyNumberFormat="1" applyFont="1" applyFill="1" applyBorder="1" applyAlignment="1">
      <alignment horizontal="center" vertical="center"/>
    </xf>
    <xf numFmtId="3" fontId="24" fillId="3" borderId="52" xfId="0" applyNumberFormat="1" applyFont="1" applyFill="1" applyBorder="1" applyAlignment="1">
      <alignment horizontal="center" vertical="center"/>
    </xf>
    <xf numFmtId="3" fontId="24" fillId="3" borderId="32" xfId="0" applyNumberFormat="1" applyFont="1" applyFill="1" applyBorder="1" applyAlignment="1">
      <alignment horizontal="center" vertical="center"/>
    </xf>
    <xf numFmtId="3" fontId="24" fillId="3" borderId="16" xfId="0" applyNumberFormat="1" applyFont="1" applyFill="1" applyBorder="1" applyAlignment="1">
      <alignment horizontal="center" vertical="center"/>
    </xf>
    <xf numFmtId="3" fontId="24" fillId="3" borderId="9" xfId="0" applyNumberFormat="1" applyFont="1" applyFill="1" applyBorder="1" applyAlignment="1">
      <alignment horizontal="center" vertical="center"/>
    </xf>
    <xf numFmtId="3" fontId="24" fillId="3" borderId="13" xfId="0" applyNumberFormat="1" applyFont="1" applyFill="1" applyBorder="1" applyAlignment="1">
      <alignment horizontal="center" vertical="center"/>
    </xf>
    <xf numFmtId="3" fontId="25" fillId="3" borderId="61" xfId="0" applyNumberFormat="1" applyFont="1" applyFill="1" applyBorder="1" applyAlignment="1">
      <alignment horizontal="center" vertical="center"/>
    </xf>
    <xf numFmtId="3" fontId="25" fillId="3" borderId="59" xfId="0" applyNumberFormat="1" applyFont="1" applyFill="1" applyBorder="1" applyAlignment="1">
      <alignment horizontal="center" vertical="center"/>
    </xf>
    <xf numFmtId="3" fontId="25" fillId="3" borderId="30" xfId="0" applyNumberFormat="1" applyFont="1" applyFill="1" applyBorder="1" applyAlignment="1">
      <alignment horizontal="center" vertical="center"/>
    </xf>
    <xf numFmtId="3" fontId="25" fillId="3" borderId="6" xfId="0" applyNumberFormat="1" applyFont="1" applyFill="1" applyBorder="1" applyAlignment="1">
      <alignment horizontal="center" vertical="center"/>
    </xf>
    <xf numFmtId="3" fontId="25" fillId="3" borderId="52" xfId="0" applyNumberFormat="1" applyFont="1" applyFill="1" applyBorder="1" applyAlignment="1">
      <alignment horizontal="center" vertical="center"/>
    </xf>
    <xf numFmtId="3" fontId="25" fillId="3" borderId="32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left" vertical="center"/>
    </xf>
    <xf numFmtId="3" fontId="22" fillId="10" borderId="58" xfId="0" applyNumberFormat="1" applyFont="1" applyFill="1" applyBorder="1" applyAlignment="1">
      <alignment horizontal="center" vertical="center"/>
    </xf>
    <xf numFmtId="3" fontId="22" fillId="10" borderId="74" xfId="0" applyNumberFormat="1" applyFont="1" applyFill="1" applyBorder="1" applyAlignment="1">
      <alignment horizontal="center" vertical="center"/>
    </xf>
    <xf numFmtId="3" fontId="22" fillId="10" borderId="62" xfId="0" applyNumberFormat="1" applyFont="1" applyFill="1" applyBorder="1" applyAlignment="1">
      <alignment horizontal="center" vertical="center"/>
    </xf>
    <xf numFmtId="3" fontId="12" fillId="3" borderId="61" xfId="0" applyNumberFormat="1" applyFont="1" applyFill="1" applyBorder="1" applyAlignment="1">
      <alignment horizontal="center" vertical="center"/>
    </xf>
    <xf numFmtId="3" fontId="12" fillId="3" borderId="59" xfId="0" applyNumberFormat="1" applyFont="1" applyFill="1" applyBorder="1" applyAlignment="1">
      <alignment horizontal="center" vertical="center"/>
    </xf>
    <xf numFmtId="3" fontId="12" fillId="3" borderId="30" xfId="0" applyNumberFormat="1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3" fontId="12" fillId="3" borderId="52" xfId="0" applyNumberFormat="1" applyFont="1" applyFill="1" applyBorder="1" applyAlignment="1">
      <alignment horizontal="center" vertical="center"/>
    </xf>
    <xf numFmtId="3" fontId="12" fillId="3" borderId="32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3" borderId="9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22" fillId="3" borderId="61" xfId="0" applyNumberFormat="1" applyFont="1" applyFill="1" applyBorder="1" applyAlignment="1">
      <alignment horizontal="center" vertical="center"/>
    </xf>
    <xf numFmtId="3" fontId="22" fillId="3" borderId="72" xfId="0" applyNumberFormat="1" applyFont="1" applyFill="1" applyBorder="1" applyAlignment="1">
      <alignment horizontal="center" vertical="center"/>
    </xf>
    <xf numFmtId="3" fontId="22" fillId="3" borderId="59" xfId="0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3" fontId="22" fillId="3" borderId="6" xfId="0" applyNumberFormat="1" applyFont="1" applyFill="1" applyBorder="1" applyAlignment="1">
      <alignment horizontal="center" vertical="center"/>
    </xf>
    <xf numFmtId="3" fontId="22" fillId="3" borderId="52" xfId="0" applyNumberFormat="1" applyFont="1" applyFill="1" applyBorder="1" applyAlignment="1">
      <alignment horizontal="center" vertical="center"/>
    </xf>
    <xf numFmtId="3" fontId="22" fillId="3" borderId="33" xfId="0" applyNumberFormat="1" applyFont="1" applyFill="1" applyBorder="1" applyAlignment="1">
      <alignment horizontal="center" vertical="center"/>
    </xf>
    <xf numFmtId="3" fontId="22" fillId="3" borderId="32" xfId="0" applyNumberFormat="1" applyFont="1" applyFill="1" applyBorder="1" applyAlignment="1">
      <alignment horizontal="center" vertical="center"/>
    </xf>
    <xf numFmtId="3" fontId="14" fillId="3" borderId="68" xfId="0" applyNumberFormat="1" applyFont="1" applyFill="1" applyBorder="1" applyAlignment="1">
      <alignment horizontal="center" vertical="center"/>
    </xf>
    <xf numFmtId="3" fontId="14" fillId="3" borderId="69" xfId="0" applyNumberFormat="1" applyFont="1" applyFill="1" applyBorder="1" applyAlignment="1">
      <alignment horizontal="center" vertical="center"/>
    </xf>
    <xf numFmtId="3" fontId="14" fillId="3" borderId="51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30" fillId="3" borderId="13" xfId="0" applyNumberFormat="1" applyFont="1" applyFill="1" applyBorder="1" applyAlignment="1">
      <alignment horizontal="center" vertical="center"/>
    </xf>
    <xf numFmtId="3" fontId="30" fillId="3" borderId="15" xfId="0" applyNumberFormat="1" applyFont="1" applyFill="1" applyBorder="1" applyAlignment="1">
      <alignment horizontal="center" vertical="center"/>
    </xf>
    <xf numFmtId="3" fontId="22" fillId="3" borderId="13" xfId="0" applyNumberFormat="1" applyFont="1" applyFill="1" applyBorder="1" applyAlignment="1">
      <alignment horizontal="center" vertical="center"/>
    </xf>
    <xf numFmtId="3" fontId="22" fillId="3" borderId="15" xfId="0" applyNumberFormat="1" applyFont="1" applyFill="1" applyBorder="1" applyAlignment="1">
      <alignment horizontal="center" vertical="center"/>
    </xf>
    <xf numFmtId="3" fontId="25" fillId="12" borderId="109" xfId="0" applyNumberFormat="1" applyFont="1" applyFill="1" applyBorder="1" applyAlignment="1">
      <alignment horizontal="center" vertical="center"/>
    </xf>
    <xf numFmtId="3" fontId="25" fillId="12" borderId="72" xfId="0" applyNumberFormat="1" applyFont="1" applyFill="1" applyBorder="1" applyAlignment="1">
      <alignment horizontal="center" vertical="center"/>
    </xf>
    <xf numFmtId="3" fontId="25" fillId="12" borderId="59" xfId="0" applyNumberFormat="1" applyFont="1" applyFill="1" applyBorder="1" applyAlignment="1">
      <alignment horizontal="center" vertical="center"/>
    </xf>
    <xf numFmtId="3" fontId="25" fillId="12" borderId="101" xfId="0" applyNumberFormat="1" applyFont="1" applyFill="1" applyBorder="1" applyAlignment="1">
      <alignment horizontal="center" vertical="center"/>
    </xf>
    <xf numFmtId="3" fontId="25" fillId="12" borderId="0" xfId="0" applyNumberFormat="1" applyFont="1" applyFill="1" applyBorder="1" applyAlignment="1">
      <alignment horizontal="center" vertical="center"/>
    </xf>
    <xf numFmtId="3" fontId="25" fillId="12" borderId="6" xfId="0" applyNumberFormat="1" applyFont="1" applyFill="1" applyBorder="1" applyAlignment="1">
      <alignment horizontal="center" vertical="center"/>
    </xf>
    <xf numFmtId="3" fontId="25" fillId="12" borderId="100" xfId="0" applyNumberFormat="1" applyFont="1" applyFill="1" applyBorder="1" applyAlignment="1">
      <alignment horizontal="center" vertical="center"/>
    </xf>
    <xf numFmtId="3" fontId="25" fillId="12" borderId="102" xfId="0" applyNumberFormat="1" applyFont="1" applyFill="1" applyBorder="1" applyAlignment="1">
      <alignment horizontal="center" vertical="center"/>
    </xf>
    <xf numFmtId="3" fontId="25" fillId="12" borderId="111" xfId="0" applyNumberFormat="1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left" vertical="center" wrapText="1"/>
    </xf>
    <xf numFmtId="0" fontId="25" fillId="3" borderId="15" xfId="0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/>
    </xf>
    <xf numFmtId="3" fontId="22" fillId="6" borderId="15" xfId="0" applyNumberFormat="1" applyFont="1" applyFill="1" applyBorder="1" applyAlignment="1">
      <alignment horizontal="center" vertical="center"/>
    </xf>
    <xf numFmtId="3" fontId="35" fillId="3" borderId="15" xfId="0" applyNumberFormat="1" applyFont="1" applyFill="1" applyBorder="1" applyAlignment="1">
      <alignment horizontal="left" vertical="center"/>
    </xf>
    <xf numFmtId="3" fontId="25" fillId="18" borderId="15" xfId="0" applyNumberFormat="1" applyFont="1" applyFill="1" applyBorder="1" applyAlignment="1">
      <alignment horizontal="center" vertical="center"/>
    </xf>
    <xf numFmtId="3" fontId="14" fillId="5" borderId="15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 wrapText="1"/>
    </xf>
    <xf numFmtId="0" fontId="25" fillId="6" borderId="61" xfId="0" applyFont="1" applyFill="1" applyBorder="1" applyAlignment="1">
      <alignment horizontal="center" vertical="center" wrapText="1"/>
    </xf>
    <xf numFmtId="0" fontId="25" fillId="6" borderId="72" xfId="0" applyFont="1" applyFill="1" applyBorder="1" applyAlignment="1">
      <alignment horizontal="center" vertical="center" wrapText="1"/>
    </xf>
    <xf numFmtId="0" fontId="25" fillId="6" borderId="59" xfId="0" applyFont="1" applyFill="1" applyBorder="1" applyAlignment="1">
      <alignment horizontal="center" vertical="center" wrapText="1"/>
    </xf>
    <xf numFmtId="0" fontId="25" fillId="6" borderId="3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52" xfId="0" applyFont="1" applyFill="1" applyBorder="1" applyAlignment="1">
      <alignment horizontal="center" vertical="center" wrapText="1"/>
    </xf>
    <xf numFmtId="0" fontId="25" fillId="6" borderId="33" xfId="0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3" fontId="35" fillId="6" borderId="15" xfId="0" applyNumberFormat="1" applyFont="1" applyFill="1" applyBorder="1" applyAlignment="1">
      <alignment horizontal="left" vertical="center" wrapText="1"/>
    </xf>
    <xf numFmtId="3" fontId="35" fillId="3" borderId="16" xfId="0" applyNumberFormat="1" applyFont="1" applyFill="1" applyBorder="1" applyAlignment="1">
      <alignment horizontal="center" vertical="center"/>
    </xf>
    <xf numFmtId="3" fontId="35" fillId="3" borderId="13" xfId="0" applyNumberFormat="1" applyFont="1" applyFill="1" applyBorder="1" applyAlignment="1">
      <alignment horizontal="center" vertical="center"/>
    </xf>
    <xf numFmtId="3" fontId="35" fillId="3" borderId="9" xfId="0" applyNumberFormat="1" applyFont="1" applyFill="1" applyBorder="1" applyAlignment="1">
      <alignment horizontal="center" vertical="center"/>
    </xf>
    <xf numFmtId="3" fontId="35" fillId="0" borderId="15" xfId="0" applyNumberFormat="1" applyFont="1" applyFill="1" applyBorder="1" applyAlignment="1">
      <alignment horizontal="left" vertical="center" wrapText="1"/>
    </xf>
    <xf numFmtId="3" fontId="22" fillId="10" borderId="16" xfId="0" applyNumberFormat="1" applyFont="1" applyFill="1" applyBorder="1" applyAlignment="1">
      <alignment horizontal="center" vertical="center"/>
    </xf>
    <xf numFmtId="3" fontId="22" fillId="10" borderId="9" xfId="0" applyNumberFormat="1" applyFont="1" applyFill="1" applyBorder="1" applyAlignment="1">
      <alignment horizontal="center" vertical="center"/>
    </xf>
    <xf numFmtId="3" fontId="22" fillId="10" borderId="13" xfId="0" applyNumberFormat="1" applyFont="1" applyFill="1" applyBorder="1" applyAlignment="1">
      <alignment horizontal="center" vertical="center"/>
    </xf>
    <xf numFmtId="3" fontId="22" fillId="10" borderId="63" xfId="0" applyNumberFormat="1" applyFont="1" applyFill="1" applyBorder="1" applyAlignment="1">
      <alignment horizontal="center" vertical="center"/>
    </xf>
    <xf numFmtId="3" fontId="22" fillId="10" borderId="72" xfId="0" applyNumberFormat="1" applyFont="1" applyFill="1" applyBorder="1" applyAlignment="1">
      <alignment horizontal="center" vertical="center"/>
    </xf>
    <xf numFmtId="3" fontId="22" fillId="10" borderId="59" xfId="0" applyNumberFormat="1" applyFont="1" applyFill="1" applyBorder="1" applyAlignment="1">
      <alignment horizontal="center" vertical="center"/>
    </xf>
    <xf numFmtId="3" fontId="22" fillId="10" borderId="1" xfId="0" applyNumberFormat="1" applyFont="1" applyFill="1" applyBorder="1" applyAlignment="1">
      <alignment horizontal="center" vertical="center"/>
    </xf>
    <xf numFmtId="3" fontId="22" fillId="10" borderId="0" xfId="0" applyNumberFormat="1" applyFont="1" applyFill="1" applyBorder="1" applyAlignment="1">
      <alignment horizontal="center" vertical="center"/>
    </xf>
    <xf numFmtId="3" fontId="22" fillId="10" borderId="6" xfId="0" applyNumberFormat="1" applyFont="1" applyFill="1" applyBorder="1" applyAlignment="1">
      <alignment horizontal="center" vertical="center"/>
    </xf>
    <xf numFmtId="3" fontId="22" fillId="10" borderId="31" xfId="0" applyNumberFormat="1" applyFont="1" applyFill="1" applyBorder="1" applyAlignment="1">
      <alignment horizontal="center" vertical="center"/>
    </xf>
    <xf numFmtId="3" fontId="22" fillId="10" borderId="33" xfId="0" applyNumberFormat="1" applyFont="1" applyFill="1" applyBorder="1" applyAlignment="1">
      <alignment horizontal="center" vertical="center"/>
    </xf>
    <xf numFmtId="3" fontId="22" fillId="10" borderId="32" xfId="0" applyNumberFormat="1" applyFont="1" applyFill="1" applyBorder="1" applyAlignment="1">
      <alignment horizontal="center" vertical="center"/>
    </xf>
    <xf numFmtId="3" fontId="35" fillId="3" borderId="15" xfId="0" applyNumberFormat="1" applyFont="1" applyFill="1" applyBorder="1" applyAlignment="1">
      <alignment horizontal="center" vertical="center"/>
    </xf>
    <xf numFmtId="3" fontId="35" fillId="8" borderId="15" xfId="0" applyNumberFormat="1" applyFont="1" applyFill="1" applyBorder="1" applyAlignment="1">
      <alignment horizontal="center" vertical="center"/>
    </xf>
    <xf numFmtId="3" fontId="24" fillId="3" borderId="15" xfId="0" applyNumberFormat="1" applyFont="1" applyFill="1" applyBorder="1" applyAlignment="1">
      <alignment horizontal="center" vertical="center"/>
    </xf>
    <xf numFmtId="3" fontId="25" fillId="8" borderId="61" xfId="0" applyNumberFormat="1" applyFont="1" applyFill="1" applyBorder="1" applyAlignment="1">
      <alignment horizontal="center" vertical="center"/>
    </xf>
    <xf numFmtId="3" fontId="25" fillId="8" borderId="72" xfId="0" applyNumberFormat="1" applyFont="1" applyFill="1" applyBorder="1" applyAlignment="1">
      <alignment horizontal="center" vertical="center"/>
    </xf>
    <xf numFmtId="3" fontId="25" fillId="8" borderId="59" xfId="0" applyNumberFormat="1" applyFont="1" applyFill="1" applyBorder="1" applyAlignment="1">
      <alignment horizontal="center" vertical="center"/>
    </xf>
    <xf numFmtId="3" fontId="25" fillId="8" borderId="30" xfId="0" applyNumberFormat="1" applyFont="1" applyFill="1" applyBorder="1" applyAlignment="1">
      <alignment horizontal="center" vertical="center"/>
    </xf>
    <xf numFmtId="3" fontId="25" fillId="8" borderId="0" xfId="0" applyNumberFormat="1" applyFont="1" applyFill="1" applyBorder="1" applyAlignment="1">
      <alignment horizontal="center" vertical="center"/>
    </xf>
    <xf numFmtId="3" fontId="25" fillId="8" borderId="6" xfId="0" applyNumberFormat="1" applyFont="1" applyFill="1" applyBorder="1" applyAlignment="1">
      <alignment horizontal="center" vertical="center"/>
    </xf>
    <xf numFmtId="3" fontId="22" fillId="20" borderId="30" xfId="0" applyNumberFormat="1" applyFont="1" applyFill="1" applyBorder="1" applyAlignment="1">
      <alignment horizontal="center" vertical="center"/>
    </xf>
    <xf numFmtId="3" fontId="22" fillId="20" borderId="0" xfId="0" applyNumberFormat="1" applyFont="1" applyFill="1" applyBorder="1" applyAlignment="1">
      <alignment horizontal="center" vertical="center"/>
    </xf>
    <xf numFmtId="3" fontId="22" fillId="20" borderId="6" xfId="0" applyNumberFormat="1" applyFont="1" applyFill="1" applyBorder="1" applyAlignment="1">
      <alignment horizontal="center" vertical="center"/>
    </xf>
    <xf numFmtId="3" fontId="35" fillId="3" borderId="61" xfId="0" applyNumberFormat="1" applyFont="1" applyFill="1" applyBorder="1" applyAlignment="1">
      <alignment horizontal="center" vertical="center"/>
    </xf>
    <xf numFmtId="3" fontId="35" fillId="3" borderId="59" xfId="0" applyNumberFormat="1" applyFont="1" applyFill="1" applyBorder="1" applyAlignment="1">
      <alignment horizontal="center" vertical="center"/>
    </xf>
    <xf numFmtId="3" fontId="35" fillId="3" borderId="30" xfId="0" applyNumberFormat="1" applyFont="1" applyFill="1" applyBorder="1" applyAlignment="1">
      <alignment horizontal="center" vertical="center"/>
    </xf>
    <xf numFmtId="3" fontId="35" fillId="3" borderId="6" xfId="0" applyNumberFormat="1" applyFont="1" applyFill="1" applyBorder="1" applyAlignment="1">
      <alignment horizontal="center" vertical="center"/>
    </xf>
    <xf numFmtId="3" fontId="35" fillId="3" borderId="52" xfId="0" applyNumberFormat="1" applyFont="1" applyFill="1" applyBorder="1" applyAlignment="1">
      <alignment horizontal="center" vertical="center"/>
    </xf>
    <xf numFmtId="3" fontId="35" fillId="3" borderId="32" xfId="0" applyNumberFormat="1" applyFont="1" applyFill="1" applyBorder="1" applyAlignment="1">
      <alignment horizontal="center" vertical="center"/>
    </xf>
    <xf numFmtId="3" fontId="29" fillId="3" borderId="16" xfId="0" applyNumberFormat="1" applyFont="1" applyFill="1" applyBorder="1" applyAlignment="1">
      <alignment horizontal="center" vertical="center"/>
    </xf>
    <xf numFmtId="3" fontId="29" fillId="3" borderId="9" xfId="0" applyNumberFormat="1" applyFont="1" applyFill="1" applyBorder="1" applyAlignment="1">
      <alignment horizontal="center" vertical="center"/>
    </xf>
    <xf numFmtId="3" fontId="29" fillId="3" borderId="13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24" fillId="8" borderId="15" xfId="0" applyNumberFormat="1" applyFont="1" applyFill="1" applyBorder="1" applyAlignment="1">
      <alignment horizontal="center" vertical="center"/>
    </xf>
    <xf numFmtId="3" fontId="22" fillId="12" borderId="16" xfId="0" applyNumberFormat="1" applyFont="1" applyFill="1" applyBorder="1" applyAlignment="1">
      <alignment horizontal="center" vertical="center"/>
    </xf>
    <xf numFmtId="3" fontId="22" fillId="12" borderId="9" xfId="0" applyNumberFormat="1" applyFont="1" applyFill="1" applyBorder="1" applyAlignment="1">
      <alignment horizontal="center" vertical="center"/>
    </xf>
    <xf numFmtId="3" fontId="22" fillId="12" borderId="13" xfId="0" applyNumberFormat="1" applyFont="1" applyFill="1" applyBorder="1" applyAlignment="1">
      <alignment horizontal="center" vertical="center"/>
    </xf>
    <xf numFmtId="3" fontId="22" fillId="10" borderId="61" xfId="0" applyNumberFormat="1" applyFont="1" applyFill="1" applyBorder="1" applyAlignment="1">
      <alignment horizontal="center" vertical="center"/>
    </xf>
    <xf numFmtId="3" fontId="22" fillId="10" borderId="30" xfId="0" applyNumberFormat="1" applyFont="1" applyFill="1" applyBorder="1" applyAlignment="1">
      <alignment horizontal="center" vertical="center"/>
    </xf>
    <xf numFmtId="3" fontId="22" fillId="10" borderId="52" xfId="0" applyNumberFormat="1" applyFont="1" applyFill="1" applyBorder="1" applyAlignment="1">
      <alignment horizontal="center" vertical="center"/>
    </xf>
    <xf numFmtId="3" fontId="35" fillId="3" borderId="72" xfId="0" applyNumberFormat="1" applyFont="1" applyFill="1" applyBorder="1" applyAlignment="1">
      <alignment horizontal="center" vertical="center"/>
    </xf>
    <xf numFmtId="3" fontId="35" fillId="3" borderId="0" xfId="0" applyNumberFormat="1" applyFont="1" applyFill="1" applyBorder="1" applyAlignment="1">
      <alignment horizontal="center" vertical="center"/>
    </xf>
    <xf numFmtId="3" fontId="35" fillId="3" borderId="33" xfId="0" applyNumberFormat="1" applyFont="1" applyFill="1" applyBorder="1" applyAlignment="1">
      <alignment horizontal="center" vertical="center"/>
    </xf>
    <xf numFmtId="3" fontId="22" fillId="20" borderId="103" xfId="0" applyNumberFormat="1" applyFont="1" applyFill="1" applyBorder="1" applyAlignment="1">
      <alignment horizontal="left" vertical="center"/>
    </xf>
    <xf numFmtId="3" fontId="22" fillId="20" borderId="104" xfId="0" applyNumberFormat="1" applyFont="1" applyFill="1" applyBorder="1" applyAlignment="1">
      <alignment horizontal="left" vertical="center"/>
    </xf>
    <xf numFmtId="3" fontId="22" fillId="20" borderId="105" xfId="0" applyNumberFormat="1" applyFont="1" applyFill="1" applyBorder="1" applyAlignment="1">
      <alignment horizontal="left" vertical="center"/>
    </xf>
    <xf numFmtId="3" fontId="25" fillId="8" borderId="15" xfId="0" applyNumberFormat="1" applyFont="1" applyFill="1" applyBorder="1" applyAlignment="1">
      <alignment horizontal="center" vertical="center"/>
    </xf>
    <xf numFmtId="3" fontId="30" fillId="3" borderId="16" xfId="0" applyNumberFormat="1" applyFont="1" applyFill="1" applyBorder="1" applyAlignment="1">
      <alignment horizontal="center" vertical="center"/>
    </xf>
    <xf numFmtId="3" fontId="30" fillId="3" borderId="9" xfId="0" applyNumberFormat="1" applyFont="1" applyFill="1" applyBorder="1" applyAlignment="1">
      <alignment horizontal="center" vertical="center"/>
    </xf>
    <xf numFmtId="3" fontId="22" fillId="12" borderId="109" xfId="0" applyNumberFormat="1" applyFont="1" applyFill="1" applyBorder="1" applyAlignment="1">
      <alignment horizontal="center" vertical="center"/>
    </xf>
    <xf numFmtId="3" fontId="22" fillId="12" borderId="72" xfId="0" applyNumberFormat="1" applyFont="1" applyFill="1" applyBorder="1" applyAlignment="1">
      <alignment horizontal="center" vertical="center"/>
    </xf>
    <xf numFmtId="3" fontId="22" fillId="12" borderId="59" xfId="0" applyNumberFormat="1" applyFont="1" applyFill="1" applyBorder="1" applyAlignment="1">
      <alignment horizontal="center" vertical="center"/>
    </xf>
    <xf numFmtId="3" fontId="22" fillId="12" borderId="101" xfId="0" applyNumberFormat="1" applyFont="1" applyFill="1" applyBorder="1" applyAlignment="1">
      <alignment horizontal="center" vertical="center"/>
    </xf>
    <xf numFmtId="3" fontId="22" fillId="12" borderId="0" xfId="0" applyNumberFormat="1" applyFont="1" applyFill="1" applyBorder="1" applyAlignment="1">
      <alignment horizontal="center" vertical="center"/>
    </xf>
    <xf numFmtId="3" fontId="22" fillId="12" borderId="6" xfId="0" applyNumberFormat="1" applyFont="1" applyFill="1" applyBorder="1" applyAlignment="1">
      <alignment horizontal="center" vertical="center"/>
    </xf>
    <xf numFmtId="3" fontId="22" fillId="12" borderId="100" xfId="0" applyNumberFormat="1" applyFont="1" applyFill="1" applyBorder="1" applyAlignment="1">
      <alignment horizontal="center" vertical="center"/>
    </xf>
    <xf numFmtId="3" fontId="22" fillId="12" borderId="102" xfId="0" applyNumberFormat="1" applyFont="1" applyFill="1" applyBorder="1" applyAlignment="1">
      <alignment horizontal="center" vertical="center"/>
    </xf>
    <xf numFmtId="3" fontId="22" fillId="12" borderId="111" xfId="0" applyNumberFormat="1" applyFont="1" applyFill="1" applyBorder="1" applyAlignment="1">
      <alignment horizontal="center" vertical="center"/>
    </xf>
    <xf numFmtId="3" fontId="22" fillId="12" borderId="106" xfId="0" applyNumberFormat="1" applyFont="1" applyFill="1" applyBorder="1" applyAlignment="1">
      <alignment horizontal="left" vertical="center"/>
    </xf>
    <xf numFmtId="3" fontId="22" fillId="12" borderId="107" xfId="0" applyNumberFormat="1" applyFont="1" applyFill="1" applyBorder="1" applyAlignment="1">
      <alignment horizontal="left" vertical="center"/>
    </xf>
    <xf numFmtId="3" fontId="43" fillId="12" borderId="16" xfId="0" applyNumberFormat="1" applyFont="1" applyFill="1" applyBorder="1" applyAlignment="1">
      <alignment horizontal="center" vertical="center"/>
    </xf>
    <xf numFmtId="3" fontId="43" fillId="12" borderId="9" xfId="0" applyNumberFormat="1" applyFont="1" applyFill="1" applyBorder="1" applyAlignment="1">
      <alignment horizontal="center" vertical="center"/>
    </xf>
    <xf numFmtId="3" fontId="43" fillId="12" borderId="13" xfId="0" applyNumberFormat="1" applyFont="1" applyFill="1" applyBorder="1" applyAlignment="1">
      <alignment horizontal="center" vertical="center"/>
    </xf>
    <xf numFmtId="3" fontId="14" fillId="12" borderId="16" xfId="0" applyNumberFormat="1" applyFont="1" applyFill="1" applyBorder="1" applyAlignment="1">
      <alignment horizontal="center" vertical="center"/>
    </xf>
    <xf numFmtId="3" fontId="14" fillId="12" borderId="9" xfId="0" applyNumberFormat="1" applyFont="1" applyFill="1" applyBorder="1" applyAlignment="1">
      <alignment horizontal="center" vertical="center"/>
    </xf>
    <xf numFmtId="3" fontId="43" fillId="10" borderId="16" xfId="0" applyNumberFormat="1" applyFont="1" applyFill="1" applyBorder="1" applyAlignment="1">
      <alignment horizontal="center" vertical="center"/>
    </xf>
    <xf numFmtId="3" fontId="43" fillId="10" borderId="9" xfId="0" applyNumberFormat="1" applyFont="1" applyFill="1" applyBorder="1" applyAlignment="1">
      <alignment horizontal="center" vertical="center"/>
    </xf>
    <xf numFmtId="3" fontId="43" fillId="10" borderId="13" xfId="0" applyNumberFormat="1" applyFont="1" applyFill="1" applyBorder="1" applyAlignment="1">
      <alignment horizontal="center" vertical="center"/>
    </xf>
    <xf numFmtId="3" fontId="30" fillId="10" borderId="61" xfId="0" applyNumberFormat="1" applyFont="1" applyFill="1" applyBorder="1" applyAlignment="1">
      <alignment horizontal="center" vertical="center"/>
    </xf>
    <xf numFmtId="3" fontId="30" fillId="10" borderId="72" xfId="0" applyNumberFormat="1" applyFont="1" applyFill="1" applyBorder="1" applyAlignment="1">
      <alignment horizontal="center" vertical="center"/>
    </xf>
    <xf numFmtId="3" fontId="30" fillId="10" borderId="59" xfId="0" applyNumberFormat="1" applyFont="1" applyFill="1" applyBorder="1" applyAlignment="1">
      <alignment horizontal="center" vertical="center"/>
    </xf>
    <xf numFmtId="3" fontId="30" fillId="10" borderId="30" xfId="0" applyNumberFormat="1" applyFont="1" applyFill="1" applyBorder="1" applyAlignment="1">
      <alignment horizontal="center" vertical="center"/>
    </xf>
    <xf numFmtId="3" fontId="30" fillId="10" borderId="0" xfId="0" applyNumberFormat="1" applyFont="1" applyFill="1" applyBorder="1" applyAlignment="1">
      <alignment horizontal="center" vertical="center"/>
    </xf>
    <xf numFmtId="3" fontId="30" fillId="10" borderId="6" xfId="0" applyNumberFormat="1" applyFont="1" applyFill="1" applyBorder="1" applyAlignment="1">
      <alignment horizontal="center" vertical="center"/>
    </xf>
    <xf numFmtId="3" fontId="35" fillId="0" borderId="61" xfId="0" applyNumberFormat="1" applyFont="1" applyFill="1" applyBorder="1" applyAlignment="1">
      <alignment horizontal="center" vertical="center"/>
    </xf>
    <xf numFmtId="3" fontId="35" fillId="0" borderId="59" xfId="0" applyNumberFormat="1" applyFont="1" applyFill="1" applyBorder="1" applyAlignment="1">
      <alignment horizontal="center" vertical="center"/>
    </xf>
    <xf numFmtId="3" fontId="35" fillId="0" borderId="30" xfId="0" applyNumberFormat="1" applyFont="1" applyFill="1" applyBorder="1" applyAlignment="1">
      <alignment horizontal="center" vertical="center"/>
    </xf>
    <xf numFmtId="3" fontId="35" fillId="0" borderId="6" xfId="0" applyNumberFormat="1" applyFont="1" applyFill="1" applyBorder="1" applyAlignment="1">
      <alignment horizontal="center" vertical="center"/>
    </xf>
    <xf numFmtId="3" fontId="35" fillId="0" borderId="52" xfId="0" applyNumberFormat="1" applyFont="1" applyFill="1" applyBorder="1" applyAlignment="1">
      <alignment horizontal="center" vertical="center"/>
    </xf>
    <xf numFmtId="3" fontId="35" fillId="0" borderId="32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horizontal="right" vertical="top"/>
    </xf>
    <xf numFmtId="3" fontId="25" fillId="3" borderId="10" xfId="0" applyNumberFormat="1" applyFont="1" applyFill="1" applyBorder="1" applyAlignment="1">
      <alignment horizontal="center" vertical="center" wrapText="1"/>
    </xf>
    <xf numFmtId="3" fontId="25" fillId="3" borderId="5" xfId="0" applyNumberFormat="1" applyFont="1" applyFill="1" applyBorder="1" applyAlignment="1">
      <alignment horizontal="center" vertical="center" wrapText="1"/>
    </xf>
    <xf numFmtId="3" fontId="25" fillId="3" borderId="19" xfId="0" applyNumberFormat="1" applyFont="1" applyFill="1" applyBorder="1" applyAlignment="1">
      <alignment horizontal="center" vertical="center" wrapText="1"/>
    </xf>
    <xf numFmtId="3" fontId="25" fillId="3" borderId="21" xfId="0" applyNumberFormat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textRotation="1"/>
    </xf>
    <xf numFmtId="0" fontId="0" fillId="3" borderId="5" xfId="0" applyFont="1" applyFill="1" applyBorder="1" applyAlignment="1">
      <alignment horizontal="center" vertical="center" textRotation="1"/>
    </xf>
    <xf numFmtId="3" fontId="14" fillId="3" borderId="7" xfId="0" applyNumberFormat="1" applyFont="1" applyFill="1" applyBorder="1" applyAlignment="1">
      <alignment horizontal="center" vertical="center"/>
    </xf>
    <xf numFmtId="3" fontId="14" fillId="3" borderId="35" xfId="0" applyNumberFormat="1" applyFont="1" applyFill="1" applyBorder="1" applyAlignment="1">
      <alignment horizontal="center" vertical="center"/>
    </xf>
    <xf numFmtId="3" fontId="43" fillId="5" borderId="22" xfId="0" applyNumberFormat="1" applyFont="1" applyFill="1" applyBorder="1" applyAlignment="1">
      <alignment horizontal="center" vertical="center"/>
    </xf>
    <xf numFmtId="3" fontId="43" fillId="5" borderId="34" xfId="0" applyNumberFormat="1" applyFont="1" applyFill="1" applyBorder="1" applyAlignment="1">
      <alignment horizontal="center" vertical="center"/>
    </xf>
    <xf numFmtId="3" fontId="35" fillId="3" borderId="10" xfId="0" applyNumberFormat="1" applyFont="1" applyFill="1" applyBorder="1" applyAlignment="1">
      <alignment horizontal="center" vertical="center" wrapText="1"/>
    </xf>
    <xf numFmtId="3" fontId="35" fillId="3" borderId="5" xfId="0" applyNumberFormat="1" applyFont="1" applyFill="1" applyBorder="1" applyAlignment="1">
      <alignment horizontal="center" vertical="center" wrapText="1"/>
    </xf>
    <xf numFmtId="3" fontId="22" fillId="10" borderId="86" xfId="0" applyNumberFormat="1" applyFont="1" applyFill="1" applyBorder="1" applyAlignment="1">
      <alignment horizontal="center" vertical="center"/>
    </xf>
    <xf numFmtId="3" fontId="22" fillId="10" borderId="87" xfId="0" applyNumberFormat="1" applyFont="1" applyFill="1" applyBorder="1" applyAlignment="1">
      <alignment horizontal="center" vertical="center"/>
    </xf>
    <xf numFmtId="3" fontId="22" fillId="10" borderId="60" xfId="0" applyNumberFormat="1" applyFont="1" applyFill="1" applyBorder="1" applyAlignment="1">
      <alignment horizontal="center" vertical="center"/>
    </xf>
    <xf numFmtId="3" fontId="25" fillId="12" borderId="106" xfId="0" applyNumberFormat="1" applyFont="1" applyFill="1" applyBorder="1" applyAlignment="1">
      <alignment horizontal="left" vertical="center"/>
    </xf>
    <xf numFmtId="3" fontId="25" fillId="12" borderId="107" xfId="0" applyNumberFormat="1" applyFont="1" applyFill="1" applyBorder="1" applyAlignment="1">
      <alignment horizontal="left" vertical="center"/>
    </xf>
    <xf numFmtId="3" fontId="35" fillId="8" borderId="9" xfId="0" applyNumberFormat="1" applyFont="1" applyFill="1" applyBorder="1" applyAlignment="1">
      <alignment horizontal="center" vertical="center"/>
    </xf>
    <xf numFmtId="3" fontId="35" fillId="8" borderId="13" xfId="0" applyNumberFormat="1" applyFont="1" applyFill="1" applyBorder="1" applyAlignment="1">
      <alignment horizontal="center" vertical="center"/>
    </xf>
    <xf numFmtId="3" fontId="35" fillId="8" borderId="1" xfId="0" applyNumberFormat="1" applyFont="1" applyFill="1" applyBorder="1" applyAlignment="1">
      <alignment horizontal="center" vertical="center"/>
    </xf>
    <xf numFmtId="3" fontId="35" fillId="8" borderId="6" xfId="0" applyNumberFormat="1" applyFont="1" applyFill="1" applyBorder="1" applyAlignment="1">
      <alignment horizontal="center" vertical="center"/>
    </xf>
    <xf numFmtId="3" fontId="35" fillId="8" borderId="16" xfId="0" applyNumberFormat="1" applyFont="1" applyFill="1" applyBorder="1" applyAlignment="1">
      <alignment horizontal="center" vertical="center"/>
    </xf>
    <xf numFmtId="3" fontId="25" fillId="8" borderId="52" xfId="0" applyNumberFormat="1" applyFont="1" applyFill="1" applyBorder="1" applyAlignment="1">
      <alignment horizontal="left" vertical="center"/>
    </xf>
    <xf numFmtId="3" fontId="25" fillId="8" borderId="33" xfId="0" applyNumberFormat="1" applyFont="1" applyFill="1" applyBorder="1" applyAlignment="1">
      <alignment horizontal="left" vertical="center"/>
    </xf>
    <xf numFmtId="3" fontId="25" fillId="8" borderId="32" xfId="0" applyNumberFormat="1" applyFont="1" applyFill="1" applyBorder="1" applyAlignment="1">
      <alignment horizontal="left" vertical="center"/>
    </xf>
    <xf numFmtId="3" fontId="25" fillId="10" borderId="58" xfId="0" applyNumberFormat="1" applyFont="1" applyFill="1" applyBorder="1" applyAlignment="1">
      <alignment horizontal="left" vertical="center"/>
    </xf>
    <xf numFmtId="3" fontId="25" fillId="10" borderId="74" xfId="0" applyNumberFormat="1" applyFont="1" applyFill="1" applyBorder="1" applyAlignment="1">
      <alignment horizontal="left" vertical="center"/>
    </xf>
    <xf numFmtId="3" fontId="25" fillId="10" borderId="62" xfId="0" applyNumberFormat="1" applyFont="1" applyFill="1" applyBorder="1" applyAlignment="1">
      <alignment horizontal="left" vertical="center"/>
    </xf>
    <xf numFmtId="3" fontId="25" fillId="10" borderId="61" xfId="0" applyNumberFormat="1" applyFont="1" applyFill="1" applyBorder="1" applyAlignment="1">
      <alignment horizontal="center" vertical="center"/>
    </xf>
    <xf numFmtId="3" fontId="25" fillId="10" borderId="72" xfId="0" applyNumberFormat="1" applyFont="1" applyFill="1" applyBorder="1" applyAlignment="1">
      <alignment horizontal="center" vertical="center"/>
    </xf>
    <xf numFmtId="3" fontId="25" fillId="10" borderId="59" xfId="0" applyNumberFormat="1" applyFont="1" applyFill="1" applyBorder="1" applyAlignment="1">
      <alignment horizontal="center" vertical="center"/>
    </xf>
    <xf numFmtId="3" fontId="25" fillId="10" borderId="30" xfId="0" applyNumberFormat="1" applyFont="1" applyFill="1" applyBorder="1" applyAlignment="1">
      <alignment horizontal="center" vertical="center"/>
    </xf>
    <xf numFmtId="3" fontId="25" fillId="10" borderId="0" xfId="0" applyNumberFormat="1" applyFont="1" applyFill="1" applyBorder="1" applyAlignment="1">
      <alignment horizontal="center" vertical="center"/>
    </xf>
    <xf numFmtId="3" fontId="25" fillId="10" borderId="6" xfId="0" applyNumberFormat="1" applyFont="1" applyFill="1" applyBorder="1" applyAlignment="1">
      <alignment horizontal="center" vertical="center"/>
    </xf>
    <xf numFmtId="3" fontId="25" fillId="10" borderId="52" xfId="0" applyNumberFormat="1" applyFont="1" applyFill="1" applyBorder="1" applyAlignment="1">
      <alignment horizontal="center" vertical="center"/>
    </xf>
    <xf numFmtId="3" fontId="25" fillId="10" borderId="33" xfId="0" applyNumberFormat="1" applyFont="1" applyFill="1" applyBorder="1" applyAlignment="1">
      <alignment horizontal="center" vertical="center"/>
    </xf>
    <xf numFmtId="3" fontId="25" fillId="10" borderId="32" xfId="0" applyNumberFormat="1" applyFont="1" applyFill="1" applyBorder="1" applyAlignment="1">
      <alignment horizontal="center" vertical="center"/>
    </xf>
    <xf numFmtId="3" fontId="25" fillId="8" borderId="52" xfId="0" applyNumberFormat="1" applyFont="1" applyFill="1" applyBorder="1" applyAlignment="1">
      <alignment horizontal="center" vertical="center"/>
    </xf>
    <xf numFmtId="3" fontId="25" fillId="8" borderId="33" xfId="0" applyNumberFormat="1" applyFont="1" applyFill="1" applyBorder="1" applyAlignment="1">
      <alignment horizontal="center" vertical="center"/>
    </xf>
    <xf numFmtId="3" fontId="25" fillId="8" borderId="32" xfId="0" applyNumberFormat="1" applyFont="1" applyFill="1" applyBorder="1" applyAlignment="1">
      <alignment horizontal="center" vertical="center"/>
    </xf>
    <xf numFmtId="3" fontId="25" fillId="3" borderId="16" xfId="0" applyNumberFormat="1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/>
    </xf>
    <xf numFmtId="3" fontId="25" fillId="3" borderId="13" xfId="0" applyNumberFormat="1" applyFont="1" applyFill="1" applyBorder="1" applyAlignment="1">
      <alignment horizontal="center" vertical="center"/>
    </xf>
    <xf numFmtId="3" fontId="25" fillId="10" borderId="15" xfId="0" applyNumberFormat="1" applyFont="1" applyFill="1" applyBorder="1" applyAlignment="1">
      <alignment horizontal="left" vertical="center"/>
    </xf>
    <xf numFmtId="3" fontId="14" fillId="0" borderId="15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" fontId="22" fillId="0" borderId="61" xfId="2" applyNumberFormat="1" applyFont="1" applyFill="1" applyBorder="1" applyAlignment="1">
      <alignment horizontal="center" vertical="center" wrapText="1"/>
    </xf>
    <xf numFmtId="1" fontId="22" fillId="0" borderId="30" xfId="2" applyNumberFormat="1" applyFont="1" applyFill="1" applyBorder="1" applyAlignment="1">
      <alignment horizontal="center" vertical="center" wrapText="1"/>
    </xf>
    <xf numFmtId="1" fontId="22" fillId="0" borderId="52" xfId="2" applyNumberFormat="1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5" xfId="0" quotePrefix="1" applyFont="1" applyBorder="1" applyAlignment="1">
      <alignment horizontal="center" vertical="center" wrapText="1"/>
    </xf>
    <xf numFmtId="0" fontId="25" fillId="0" borderId="16" xfId="0" quotePrefix="1" applyFont="1" applyBorder="1" applyAlignment="1">
      <alignment horizontal="center" vertical="center" wrapText="1"/>
    </xf>
    <xf numFmtId="1" fontId="22" fillId="0" borderId="15" xfId="2" applyNumberFormat="1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9" fontId="10" fillId="4" borderId="121" xfId="2" applyNumberFormat="1" applyFont="1" applyFill="1" applyBorder="1" applyAlignment="1">
      <alignment horizontal="center" vertical="center"/>
    </xf>
    <xf numFmtId="49" fontId="10" fillId="4" borderId="122" xfId="2" applyNumberFormat="1" applyFont="1" applyFill="1" applyBorder="1" applyAlignment="1">
      <alignment horizontal="center" vertical="center"/>
    </xf>
    <xf numFmtId="49" fontId="10" fillId="4" borderId="123" xfId="2" applyNumberFormat="1" applyFont="1" applyFill="1" applyBorder="1" applyAlignment="1">
      <alignment horizontal="center" vertical="center"/>
    </xf>
    <xf numFmtId="3" fontId="50" fillId="22" borderId="82" xfId="2" applyNumberFormat="1" applyFont="1" applyFill="1" applyBorder="1" applyAlignment="1">
      <alignment horizontal="center" vertical="center"/>
    </xf>
    <xf numFmtId="3" fontId="97" fillId="22" borderId="82" xfId="2" applyNumberFormat="1" applyFont="1" applyFill="1" applyBorder="1" applyAlignment="1">
      <alignment horizontal="left" vertical="center"/>
    </xf>
    <xf numFmtId="49" fontId="11" fillId="22" borderId="82" xfId="2" applyNumberFormat="1" applyFont="1" applyFill="1" applyBorder="1" applyAlignment="1">
      <alignment horizontal="center" vertical="center"/>
    </xf>
    <xf numFmtId="3" fontId="11" fillId="6" borderId="68" xfId="2" applyNumberFormat="1" applyFont="1" applyFill="1" applyBorder="1" applyAlignment="1">
      <alignment horizontal="left" vertical="center"/>
    </xf>
    <xf numFmtId="3" fontId="11" fillId="6" borderId="69" xfId="2" applyNumberFormat="1" applyFont="1" applyFill="1" applyBorder="1" applyAlignment="1">
      <alignment horizontal="left" vertical="center"/>
    </xf>
    <xf numFmtId="3" fontId="11" fillId="6" borderId="51" xfId="2" applyNumberFormat="1" applyFont="1" applyFill="1" applyBorder="1" applyAlignment="1">
      <alignment horizontal="left" vertical="center"/>
    </xf>
    <xf numFmtId="3" fontId="50" fillId="6" borderId="82" xfId="2" applyNumberFormat="1" applyFont="1" applyFill="1" applyBorder="1" applyAlignment="1">
      <alignment horizontal="center" vertical="center"/>
    </xf>
    <xf numFmtId="3" fontId="97" fillId="6" borderId="68" xfId="2" applyNumberFormat="1" applyFont="1" applyFill="1" applyBorder="1" applyAlignment="1">
      <alignment horizontal="left" vertical="center"/>
    </xf>
    <xf numFmtId="3" fontId="97" fillId="6" borderId="69" xfId="2" applyNumberFormat="1" applyFont="1" applyFill="1" applyBorder="1" applyAlignment="1">
      <alignment horizontal="left" vertical="center"/>
    </xf>
    <xf numFmtId="3" fontId="97" fillId="6" borderId="51" xfId="2" applyNumberFormat="1" applyFont="1" applyFill="1" applyBorder="1" applyAlignment="1">
      <alignment horizontal="left" vertical="center"/>
    </xf>
    <xf numFmtId="3" fontId="18" fillId="3" borderId="88" xfId="2" applyNumberFormat="1" applyFont="1" applyFill="1" applyBorder="1" applyAlignment="1">
      <alignment horizontal="left" vertical="center"/>
    </xf>
    <xf numFmtId="0" fontId="18" fillId="3" borderId="88" xfId="0" applyFont="1" applyFill="1" applyBorder="1" applyAlignment="1">
      <alignment horizontal="left" vertical="center"/>
    </xf>
    <xf numFmtId="3" fontId="50" fillId="6" borderId="82" xfId="2" applyNumberFormat="1" applyFont="1" applyFill="1" applyBorder="1" applyAlignment="1">
      <alignment horizontal="center" vertical="center" wrapText="1"/>
    </xf>
    <xf numFmtId="49" fontId="10" fillId="22" borderId="82" xfId="2" applyNumberFormat="1" applyFont="1" applyFill="1" applyBorder="1" applyAlignment="1">
      <alignment horizontal="center" vertical="center"/>
    </xf>
    <xf numFmtId="49" fontId="10" fillId="22" borderId="79" xfId="2" applyNumberFormat="1" applyFont="1" applyFill="1" applyBorder="1" applyAlignment="1">
      <alignment horizontal="center" vertical="center"/>
    </xf>
    <xf numFmtId="3" fontId="11" fillId="6" borderId="82" xfId="2" applyNumberFormat="1" applyFont="1" applyFill="1" applyBorder="1" applyAlignment="1">
      <alignment horizontal="center" vertical="center"/>
    </xf>
    <xf numFmtId="49" fontId="10" fillId="6" borderId="17" xfId="2" applyNumberFormat="1" applyFont="1" applyFill="1" applyBorder="1" applyAlignment="1">
      <alignment horizontal="center" vertical="center" wrapText="1"/>
    </xf>
    <xf numFmtId="49" fontId="10" fillId="6" borderId="34" xfId="2" applyNumberFormat="1" applyFont="1" applyFill="1" applyBorder="1" applyAlignment="1">
      <alignment horizontal="center" vertical="center" wrapText="1"/>
    </xf>
    <xf numFmtId="49" fontId="10" fillId="6" borderId="1" xfId="2" applyNumberFormat="1" applyFont="1" applyFill="1" applyBorder="1" applyAlignment="1">
      <alignment horizontal="center" vertical="center" wrapText="1"/>
    </xf>
    <xf numFmtId="49" fontId="10" fillId="6" borderId="39" xfId="2" applyNumberFormat="1" applyFont="1" applyFill="1" applyBorder="1" applyAlignment="1">
      <alignment horizontal="center" vertical="center" wrapText="1"/>
    </xf>
    <xf numFmtId="49" fontId="10" fillId="6" borderId="4" xfId="2" applyNumberFormat="1" applyFont="1" applyFill="1" applyBorder="1" applyAlignment="1">
      <alignment horizontal="center" vertical="center" wrapText="1"/>
    </xf>
    <xf numFmtId="49" fontId="10" fillId="6" borderId="36" xfId="2" applyNumberFormat="1" applyFont="1" applyFill="1" applyBorder="1" applyAlignment="1">
      <alignment horizontal="center" vertical="center" wrapText="1"/>
    </xf>
    <xf numFmtId="3" fontId="5" fillId="3" borderId="0" xfId="2" applyNumberFormat="1" applyFont="1" applyFill="1" applyBorder="1" applyAlignment="1">
      <alignment horizontal="right" vertical="center"/>
    </xf>
    <xf numFmtId="3" fontId="50" fillId="3" borderId="1" xfId="2" applyNumberFormat="1" applyFont="1" applyFill="1" applyBorder="1" applyAlignment="1">
      <alignment horizontal="center" vertical="center"/>
    </xf>
    <xf numFmtId="3" fontId="50" fillId="3" borderId="6" xfId="2" applyNumberFormat="1" applyFont="1" applyFill="1" applyBorder="1" applyAlignment="1">
      <alignment horizontal="center" vertical="center"/>
    </xf>
    <xf numFmtId="1" fontId="48" fillId="3" borderId="19" xfId="2" applyNumberFormat="1" applyFont="1" applyFill="1" applyBorder="1" applyAlignment="1">
      <alignment horizontal="center" vertical="center" wrapText="1"/>
    </xf>
    <xf numFmtId="1" fontId="48" fillId="3" borderId="20" xfId="2" applyNumberFormat="1" applyFont="1" applyFill="1" applyBorder="1" applyAlignment="1">
      <alignment horizontal="center" vertical="center" wrapText="1"/>
    </xf>
    <xf numFmtId="1" fontId="48" fillId="3" borderId="21" xfId="2" applyNumberFormat="1" applyFont="1" applyFill="1" applyBorder="1" applyAlignment="1">
      <alignment horizontal="center" vertical="center" wrapText="1"/>
    </xf>
    <xf numFmtId="3" fontId="20" fillId="3" borderId="69" xfId="2" applyNumberFormat="1" applyFont="1" applyFill="1" applyBorder="1" applyAlignment="1">
      <alignment horizontal="center" vertical="center" wrapText="1"/>
    </xf>
    <xf numFmtId="3" fontId="20" fillId="3" borderId="51" xfId="2" applyNumberFormat="1" applyFont="1" applyFill="1" applyBorder="1" applyAlignment="1">
      <alignment horizontal="center" vertical="center" wrapText="1"/>
    </xf>
    <xf numFmtId="3" fontId="20" fillId="3" borderId="79" xfId="2" applyNumberFormat="1" applyFont="1" applyFill="1" applyBorder="1" applyAlignment="1">
      <alignment horizontal="center" vertical="center" wrapText="1"/>
    </xf>
    <xf numFmtId="3" fontId="20" fillId="3" borderId="83" xfId="2" applyNumberFormat="1" applyFont="1" applyFill="1" applyBorder="1" applyAlignment="1">
      <alignment horizontal="center" vertical="center" wrapText="1"/>
    </xf>
    <xf numFmtId="3" fontId="10" fillId="3" borderId="69" xfId="2" applyNumberFormat="1" applyFont="1" applyFill="1" applyBorder="1" applyAlignment="1">
      <alignment horizontal="center" vertical="center" wrapText="1"/>
    </xf>
    <xf numFmtId="3" fontId="10" fillId="3" borderId="51" xfId="2" applyNumberFormat="1" applyFont="1" applyFill="1" applyBorder="1" applyAlignment="1">
      <alignment horizontal="center" vertical="center" wrapText="1"/>
    </xf>
    <xf numFmtId="3" fontId="50" fillId="3" borderId="17" xfId="2" applyNumberFormat="1" applyFont="1" applyFill="1" applyBorder="1" applyAlignment="1">
      <alignment horizontal="center" vertical="center"/>
    </xf>
    <xf numFmtId="3" fontId="50" fillId="3" borderId="7" xfId="2" applyNumberFormat="1" applyFont="1" applyFill="1" applyBorder="1" applyAlignment="1">
      <alignment horizontal="center" vertical="center"/>
    </xf>
    <xf numFmtId="3" fontId="50" fillId="3" borderId="4" xfId="2" applyNumberFormat="1" applyFont="1" applyFill="1" applyBorder="1" applyAlignment="1">
      <alignment horizontal="center" vertical="center"/>
    </xf>
    <xf numFmtId="3" fontId="50" fillId="3" borderId="35" xfId="2" applyNumberFormat="1" applyFont="1" applyFill="1" applyBorder="1" applyAlignment="1">
      <alignment horizontal="center" vertical="center"/>
    </xf>
    <xf numFmtId="3" fontId="20" fillId="3" borderId="34" xfId="2" applyNumberFormat="1" applyFont="1" applyFill="1" applyBorder="1" applyAlignment="1">
      <alignment horizontal="center" vertical="center" wrapText="1"/>
    </xf>
    <xf numFmtId="3" fontId="20" fillId="3" borderId="36" xfId="2" applyNumberFormat="1" applyFont="1" applyFill="1" applyBorder="1" applyAlignment="1">
      <alignment horizontal="center" vertical="center" wrapText="1"/>
    </xf>
    <xf numFmtId="3" fontId="39" fillId="3" borderId="36" xfId="0" applyNumberFormat="1" applyFont="1" applyFill="1" applyBorder="1" applyAlignment="1">
      <alignment horizontal="center" vertical="center" wrapText="1"/>
    </xf>
    <xf numFmtId="3" fontId="39" fillId="3" borderId="83" xfId="0" applyNumberFormat="1" applyFont="1" applyFill="1" applyBorder="1" applyAlignment="1">
      <alignment horizontal="center" vertical="center" wrapText="1"/>
    </xf>
    <xf numFmtId="4" fontId="20" fillId="3" borderId="34" xfId="2" applyNumberFormat="1" applyFont="1" applyFill="1" applyBorder="1" applyAlignment="1">
      <alignment horizontal="center" vertical="center" wrapText="1"/>
    </xf>
    <xf numFmtId="4" fontId="20" fillId="3" borderId="39" xfId="2" applyNumberFormat="1" applyFont="1" applyFill="1" applyBorder="1" applyAlignment="1">
      <alignment horizontal="center" vertical="center" wrapText="1"/>
    </xf>
    <xf numFmtId="4" fontId="20" fillId="3" borderId="36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9" xfId="2" applyNumberFormat="1" applyFont="1" applyFill="1" applyBorder="1" applyAlignment="1">
      <alignment horizontal="center" vertical="center" wrapText="1"/>
    </xf>
    <xf numFmtId="49" fontId="10" fillId="3" borderId="5" xfId="2" applyNumberFormat="1" applyFont="1" applyFill="1" applyBorder="1" applyAlignment="1">
      <alignment horizontal="center" vertical="center" wrapText="1"/>
    </xf>
    <xf numFmtId="1" fontId="102" fillId="3" borderId="15" xfId="2" applyNumberFormat="1" applyFont="1" applyFill="1" applyBorder="1" applyAlignment="1">
      <alignment horizontal="center" vertical="center"/>
    </xf>
    <xf numFmtId="1" fontId="102" fillId="3" borderId="16" xfId="2" applyNumberFormat="1" applyFont="1" applyFill="1" applyBorder="1" applyAlignment="1">
      <alignment horizontal="center" vertical="center"/>
    </xf>
    <xf numFmtId="1" fontId="102" fillId="3" borderId="9" xfId="2" applyNumberFormat="1" applyFont="1" applyFill="1" applyBorder="1" applyAlignment="1">
      <alignment horizontal="center" vertical="center"/>
    </xf>
    <xf numFmtId="1" fontId="102" fillId="3" borderId="13" xfId="2" applyNumberFormat="1" applyFont="1" applyFill="1" applyBorder="1" applyAlignment="1">
      <alignment horizontal="center" vertical="center"/>
    </xf>
    <xf numFmtId="1" fontId="102" fillId="3" borderId="16" xfId="2" applyNumberFormat="1" applyFont="1" applyFill="1" applyBorder="1" applyAlignment="1">
      <alignment horizontal="center" vertical="center" wrapText="1"/>
    </xf>
    <xf numFmtId="1" fontId="102" fillId="3" borderId="9" xfId="2" applyNumberFormat="1" applyFont="1" applyFill="1" applyBorder="1" applyAlignment="1">
      <alignment horizontal="center" vertical="center" wrapText="1"/>
    </xf>
    <xf numFmtId="1" fontId="102" fillId="3" borderId="5" xfId="2" applyNumberFormat="1" applyFont="1" applyFill="1" applyBorder="1" applyAlignment="1">
      <alignment horizontal="center" vertical="center" wrapText="1"/>
    </xf>
    <xf numFmtId="1" fontId="48" fillId="3" borderId="16" xfId="2" applyNumberFormat="1" applyFont="1" applyFill="1" applyBorder="1" applyAlignment="1">
      <alignment horizontal="center" vertical="center"/>
    </xf>
    <xf numFmtId="1" fontId="48" fillId="3" borderId="9" xfId="2" applyNumberFormat="1" applyFont="1" applyFill="1" applyBorder="1" applyAlignment="1">
      <alignment horizontal="center" vertical="center"/>
    </xf>
    <xf numFmtId="1" fontId="48" fillId="3" borderId="13" xfId="2" applyNumberFormat="1" applyFont="1" applyFill="1" applyBorder="1" applyAlignment="1">
      <alignment horizontal="center" vertical="center"/>
    </xf>
    <xf numFmtId="1" fontId="48" fillId="12" borderId="16" xfId="2" applyNumberFormat="1" applyFont="1" applyFill="1" applyBorder="1" applyAlignment="1">
      <alignment horizontal="center" vertical="center"/>
    </xf>
    <xf numFmtId="1" fontId="48" fillId="12" borderId="9" xfId="2" applyNumberFormat="1" applyFont="1" applyFill="1" applyBorder="1" applyAlignment="1">
      <alignment horizontal="center" vertical="center"/>
    </xf>
    <xf numFmtId="1" fontId="48" fillId="12" borderId="13" xfId="2" applyNumberFormat="1" applyFont="1" applyFill="1" applyBorder="1" applyAlignment="1">
      <alignment horizontal="center" vertical="center"/>
    </xf>
    <xf numFmtId="1" fontId="48" fillId="3" borderId="72" xfId="2" applyNumberFormat="1" applyFont="1" applyFill="1" applyBorder="1" applyAlignment="1">
      <alignment horizontal="center" vertical="center"/>
    </xf>
    <xf numFmtId="1" fontId="48" fillId="3" borderId="0" xfId="2" applyNumberFormat="1" applyFont="1" applyFill="1" applyBorder="1" applyAlignment="1">
      <alignment horizontal="center" vertical="center"/>
    </xf>
    <xf numFmtId="3" fontId="102" fillId="3" borderId="6" xfId="2" applyNumberFormat="1" applyFont="1" applyFill="1" applyBorder="1" applyAlignment="1">
      <alignment horizontal="center" vertical="center"/>
    </xf>
    <xf numFmtId="3" fontId="102" fillId="3" borderId="32" xfId="2" applyNumberFormat="1" applyFont="1" applyFill="1" applyBorder="1" applyAlignment="1">
      <alignment horizontal="center" vertical="center"/>
    </xf>
    <xf numFmtId="1" fontId="28" fillId="9" borderId="16" xfId="2" applyNumberFormat="1" applyFont="1" applyFill="1" applyBorder="1" applyAlignment="1">
      <alignment horizontal="center" vertical="center"/>
    </xf>
    <xf numFmtId="1" fontId="28" fillId="9" borderId="9" xfId="2" applyNumberFormat="1" applyFont="1" applyFill="1" applyBorder="1" applyAlignment="1">
      <alignment horizontal="center" vertical="center"/>
    </xf>
    <xf numFmtId="1" fontId="28" fillId="9" borderId="13" xfId="2" applyNumberFormat="1" applyFont="1" applyFill="1" applyBorder="1" applyAlignment="1">
      <alignment horizontal="center" vertical="center"/>
    </xf>
    <xf numFmtId="1" fontId="48" fillId="3" borderId="9" xfId="2" applyNumberFormat="1" applyFont="1" applyFill="1" applyBorder="1" applyAlignment="1">
      <alignment horizontal="center" vertical="center" wrapText="1"/>
    </xf>
    <xf numFmtId="1" fontId="48" fillId="3" borderId="5" xfId="2" applyNumberFormat="1" applyFont="1" applyFill="1" applyBorder="1" applyAlignment="1">
      <alignment horizontal="center" vertical="center" wrapText="1"/>
    </xf>
    <xf numFmtId="49" fontId="10" fillId="7" borderId="10" xfId="2" applyNumberFormat="1" applyFont="1" applyFill="1" applyBorder="1" applyAlignment="1">
      <alignment horizontal="center" vertical="center"/>
    </xf>
    <xf numFmtId="49" fontId="10" fillId="7" borderId="9" xfId="2" applyNumberFormat="1" applyFont="1" applyFill="1" applyBorder="1" applyAlignment="1">
      <alignment horizontal="center" vertical="center"/>
    </xf>
    <xf numFmtId="49" fontId="10" fillId="7" borderId="5" xfId="2" applyNumberFormat="1" applyFont="1" applyFill="1" applyBorder="1" applyAlignment="1">
      <alignment horizontal="center" vertical="center"/>
    </xf>
    <xf numFmtId="49" fontId="10" fillId="3" borderId="10" xfId="2" applyNumberFormat="1" applyFont="1" applyFill="1" applyBorder="1" applyAlignment="1">
      <alignment horizontal="center" vertical="center"/>
    </xf>
    <xf numFmtId="49" fontId="10" fillId="3" borderId="9" xfId="2" applyNumberFormat="1" applyFont="1" applyFill="1" applyBorder="1" applyAlignment="1">
      <alignment horizontal="center" vertical="center"/>
    </xf>
    <xf numFmtId="49" fontId="10" fillId="3" borderId="5" xfId="2" applyNumberFormat="1" applyFont="1" applyFill="1" applyBorder="1" applyAlignment="1">
      <alignment horizontal="center" vertical="center"/>
    </xf>
    <xf numFmtId="49" fontId="10" fillId="3" borderId="16" xfId="2" applyNumberFormat="1" applyFont="1" applyFill="1" applyBorder="1" applyAlignment="1">
      <alignment horizontal="center" vertical="center"/>
    </xf>
    <xf numFmtId="49" fontId="10" fillId="7" borderId="34" xfId="2" applyNumberFormat="1" applyFont="1" applyFill="1" applyBorder="1" applyAlignment="1">
      <alignment horizontal="center" vertical="center"/>
    </xf>
    <xf numFmtId="49" fontId="10" fillId="7" borderId="39" xfId="2" applyNumberFormat="1" applyFont="1" applyFill="1" applyBorder="1" applyAlignment="1">
      <alignment horizontal="center" vertical="center"/>
    </xf>
    <xf numFmtId="49" fontId="10" fillId="11" borderId="79" xfId="2" applyNumberFormat="1" applyFont="1" applyFill="1" applyBorder="1" applyAlignment="1">
      <alignment horizontal="center" vertical="center"/>
    </xf>
    <xf numFmtId="49" fontId="10" fillId="11" borderId="88" xfId="2" applyNumberFormat="1" applyFont="1" applyFill="1" applyBorder="1" applyAlignment="1">
      <alignment horizontal="center" vertical="center"/>
    </xf>
    <xf numFmtId="49" fontId="10" fillId="11" borderId="83" xfId="2" applyNumberFormat="1" applyFont="1" applyFill="1" applyBorder="1" applyAlignment="1">
      <alignment horizontal="center" vertical="center"/>
    </xf>
    <xf numFmtId="49" fontId="10" fillId="9" borderId="16" xfId="2" applyNumberFormat="1" applyFont="1" applyFill="1" applyBorder="1" applyAlignment="1">
      <alignment horizontal="center" vertical="center"/>
    </xf>
    <xf numFmtId="49" fontId="10" fillId="9" borderId="9" xfId="2" applyNumberFormat="1" applyFont="1" applyFill="1" applyBorder="1" applyAlignment="1">
      <alignment horizontal="center" vertical="center"/>
    </xf>
    <xf numFmtId="49" fontId="10" fillId="9" borderId="13" xfId="2" applyNumberFormat="1" applyFont="1" applyFill="1" applyBorder="1" applyAlignment="1">
      <alignment horizontal="center" vertical="center"/>
    </xf>
    <xf numFmtId="1" fontId="48" fillId="7" borderId="78" xfId="2" applyNumberFormat="1" applyFont="1" applyFill="1" applyBorder="1" applyAlignment="1">
      <alignment horizontal="center" vertical="center" wrapText="1"/>
    </xf>
    <xf numFmtId="1" fontId="48" fillId="7" borderId="30" xfId="2" applyNumberFormat="1" applyFont="1" applyFill="1" applyBorder="1" applyAlignment="1">
      <alignment horizontal="center" vertical="center" wrapText="1"/>
    </xf>
    <xf numFmtId="1" fontId="48" fillId="7" borderId="89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/>
    </xf>
    <xf numFmtId="1" fontId="48" fillId="3" borderId="10" xfId="2" applyNumberFormat="1" applyFont="1" applyFill="1" applyBorder="1" applyAlignment="1">
      <alignment horizontal="center" vertical="center" wrapText="1"/>
    </xf>
    <xf numFmtId="1" fontId="11" fillId="7" borderId="79" xfId="2" applyNumberFormat="1" applyFont="1" applyFill="1" applyBorder="1" applyAlignment="1">
      <alignment horizontal="center" vertical="center"/>
    </xf>
    <xf numFmtId="1" fontId="11" fillId="7" borderId="88" xfId="2" applyNumberFormat="1" applyFont="1" applyFill="1" applyBorder="1" applyAlignment="1">
      <alignment horizontal="center" vertical="center"/>
    </xf>
    <xf numFmtId="1" fontId="11" fillId="7" borderId="83" xfId="2" applyNumberFormat="1" applyFont="1" applyFill="1" applyBorder="1" applyAlignment="1">
      <alignment horizontal="center" vertical="center"/>
    </xf>
    <xf numFmtId="1" fontId="10" fillId="7" borderId="82" xfId="2" applyNumberFormat="1" applyFont="1" applyFill="1" applyBorder="1" applyAlignment="1">
      <alignment horizontal="center" vertical="center"/>
    </xf>
    <xf numFmtId="3" fontId="34" fillId="11" borderId="7" xfId="2" applyNumberFormat="1" applyFont="1" applyFill="1" applyBorder="1" applyAlignment="1">
      <alignment horizontal="center" vertical="center"/>
    </xf>
    <xf numFmtId="3" fontId="34" fillId="11" borderId="6" xfId="2" applyNumberFormat="1" applyFont="1" applyFill="1" applyBorder="1" applyAlignment="1">
      <alignment horizontal="center" vertical="center"/>
    </xf>
    <xf numFmtId="3" fontId="34" fillId="11" borderId="35" xfId="2" applyNumberFormat="1" applyFont="1" applyFill="1" applyBorder="1" applyAlignment="1">
      <alignment horizontal="center" vertical="center"/>
    </xf>
    <xf numFmtId="1" fontId="28" fillId="3" borderId="16" xfId="2" applyNumberFormat="1" applyFont="1" applyFill="1" applyBorder="1" applyAlignment="1">
      <alignment horizontal="center" vertical="center"/>
    </xf>
    <xf numFmtId="1" fontId="28" fillId="3" borderId="9" xfId="2" applyNumberFormat="1" applyFont="1" applyFill="1" applyBorder="1" applyAlignment="1">
      <alignment horizontal="center" vertical="center"/>
    </xf>
    <xf numFmtId="1" fontId="28" fillId="3" borderId="13" xfId="2" applyNumberFormat="1" applyFont="1" applyFill="1" applyBorder="1" applyAlignment="1">
      <alignment horizontal="center" vertical="center"/>
    </xf>
    <xf numFmtId="49" fontId="48" fillId="0" borderId="16" xfId="2" applyNumberFormat="1" applyFont="1" applyFill="1" applyBorder="1" applyAlignment="1">
      <alignment horizontal="center" vertical="center"/>
    </xf>
    <xf numFmtId="49" fontId="48" fillId="0" borderId="9" xfId="2" applyNumberFormat="1" applyFont="1" applyFill="1" applyBorder="1" applyAlignment="1">
      <alignment horizontal="center" vertical="center"/>
    </xf>
    <xf numFmtId="49" fontId="48" fillId="0" borderId="13" xfId="2" applyNumberFormat="1" applyFont="1" applyFill="1" applyBorder="1" applyAlignment="1">
      <alignment horizontal="center" vertical="center"/>
    </xf>
    <xf numFmtId="49" fontId="48" fillId="0" borderId="30" xfId="2" applyNumberFormat="1" applyFont="1" applyFill="1" applyBorder="1" applyAlignment="1">
      <alignment horizontal="center" vertical="center"/>
    </xf>
    <xf numFmtId="49" fontId="48" fillId="0" borderId="52" xfId="2" applyNumberFormat="1" applyFont="1" applyFill="1" applyBorder="1" applyAlignment="1">
      <alignment horizontal="center" vertical="center"/>
    </xf>
    <xf numFmtId="49" fontId="48" fillId="7" borderId="79" xfId="2" applyNumberFormat="1" applyFont="1" applyFill="1" applyBorder="1" applyAlignment="1">
      <alignment horizontal="center" vertical="center"/>
    </xf>
    <xf numFmtId="49" fontId="48" fillId="7" borderId="88" xfId="2" applyNumberFormat="1" applyFont="1" applyFill="1" applyBorder="1" applyAlignment="1">
      <alignment horizontal="center" vertical="center"/>
    </xf>
    <xf numFmtId="49" fontId="48" fillId="7" borderId="83" xfId="2" applyNumberFormat="1" applyFont="1" applyFill="1" applyBorder="1" applyAlignment="1">
      <alignment horizontal="center" vertical="center"/>
    </xf>
    <xf numFmtId="49" fontId="10" fillId="6" borderId="79" xfId="2" applyNumberFormat="1" applyFont="1" applyFill="1" applyBorder="1" applyAlignment="1">
      <alignment horizontal="center" vertical="center"/>
    </xf>
    <xf numFmtId="49" fontId="10" fillId="6" borderId="88" xfId="2" applyNumberFormat="1" applyFont="1" applyFill="1" applyBorder="1" applyAlignment="1">
      <alignment horizontal="center" vertical="center"/>
    </xf>
    <xf numFmtId="49" fontId="10" fillId="6" borderId="83" xfId="2" applyNumberFormat="1" applyFont="1" applyFill="1" applyBorder="1" applyAlignment="1">
      <alignment horizontal="center" vertical="center"/>
    </xf>
    <xf numFmtId="49" fontId="10" fillId="13" borderId="0" xfId="2" applyNumberFormat="1" applyFont="1" applyFill="1" applyAlignment="1">
      <alignment horizontal="center" vertical="center"/>
    </xf>
    <xf numFmtId="49" fontId="10" fillId="13" borderId="39" xfId="2" applyNumberFormat="1" applyFont="1" applyFill="1" applyBorder="1" applyAlignment="1">
      <alignment horizontal="center" vertical="center"/>
    </xf>
    <xf numFmtId="49" fontId="11" fillId="12" borderId="34" xfId="2" applyNumberFormat="1" applyFont="1" applyFill="1" applyBorder="1" applyAlignment="1">
      <alignment horizontal="center" vertical="center"/>
    </xf>
    <xf numFmtId="49" fontId="11" fillId="12" borderId="39" xfId="2" applyNumberFormat="1" applyFont="1" applyFill="1" applyBorder="1" applyAlignment="1">
      <alignment horizontal="center" vertical="center"/>
    </xf>
    <xf numFmtId="1" fontId="28" fillId="7" borderId="51" xfId="2" applyNumberFormat="1" applyFont="1" applyFill="1" applyBorder="1" applyAlignment="1">
      <alignment horizontal="center" vertical="center"/>
    </xf>
    <xf numFmtId="3" fontId="48" fillId="6" borderId="68" xfId="2" applyNumberFormat="1" applyFont="1" applyFill="1" applyBorder="1" applyAlignment="1">
      <alignment horizontal="center" vertical="center"/>
    </xf>
    <xf numFmtId="3" fontId="48" fillId="6" borderId="69" xfId="2" applyNumberFormat="1" applyFont="1" applyFill="1" applyBorder="1" applyAlignment="1">
      <alignment horizontal="center" vertical="center"/>
    </xf>
    <xf numFmtId="1" fontId="11" fillId="7" borderId="34" xfId="2" applyNumberFormat="1" applyFont="1" applyFill="1" applyBorder="1" applyAlignment="1">
      <alignment horizontal="center" vertical="center"/>
    </xf>
    <xf numFmtId="1" fontId="11" fillId="7" borderId="39" xfId="2" applyNumberFormat="1" applyFont="1" applyFill="1" applyBorder="1" applyAlignment="1">
      <alignment horizontal="center" vertical="center"/>
    </xf>
    <xf numFmtId="1" fontId="11" fillId="7" borderId="36" xfId="2" applyNumberFormat="1" applyFont="1" applyFill="1" applyBorder="1" applyAlignment="1">
      <alignment horizontal="center" vertical="center"/>
    </xf>
    <xf numFmtId="1" fontId="102" fillId="0" borderId="16" xfId="2" applyNumberFormat="1" applyFont="1" applyFill="1" applyBorder="1" applyAlignment="1">
      <alignment horizontal="center" vertical="center"/>
    </xf>
    <xf numFmtId="1" fontId="102" fillId="0" borderId="9" xfId="2" applyNumberFormat="1" applyFont="1" applyFill="1" applyBorder="1" applyAlignment="1">
      <alignment horizontal="center" vertical="center"/>
    </xf>
    <xf numFmtId="1" fontId="102" fillId="0" borderId="13" xfId="2" applyNumberFormat="1" applyFont="1" applyFill="1" applyBorder="1" applyAlignment="1">
      <alignment horizontal="center" vertical="center"/>
    </xf>
    <xf numFmtId="49" fontId="48" fillId="3" borderId="15" xfId="2" applyNumberFormat="1" applyFont="1" applyFill="1" applyBorder="1" applyAlignment="1">
      <alignment horizontal="center" vertical="center"/>
    </xf>
    <xf numFmtId="49" fontId="48" fillId="12" borderId="92" xfId="2" applyNumberFormat="1" applyFont="1" applyFill="1" applyBorder="1" applyAlignment="1">
      <alignment horizontal="center" vertical="center"/>
    </xf>
    <xf numFmtId="49" fontId="48" fillId="12" borderId="39" xfId="2" applyNumberFormat="1" applyFont="1" applyFill="1" applyBorder="1" applyAlignment="1">
      <alignment horizontal="center" vertical="center"/>
    </xf>
    <xf numFmtId="1" fontId="18" fillId="3" borderId="59" xfId="2" applyNumberFormat="1" applyFont="1" applyFill="1" applyBorder="1" applyAlignment="1">
      <alignment horizontal="center" vertical="center"/>
    </xf>
    <xf numFmtId="1" fontId="18" fillId="3" borderId="6" xfId="2" applyNumberFormat="1" applyFont="1" applyFill="1" applyBorder="1" applyAlignment="1">
      <alignment horizontal="center" vertical="center"/>
    </xf>
    <xf numFmtId="1" fontId="18" fillId="3" borderId="35" xfId="2" applyNumberFormat="1" applyFont="1" applyFill="1" applyBorder="1" applyAlignment="1">
      <alignment horizontal="center" vertical="center"/>
    </xf>
    <xf numFmtId="1" fontId="18" fillId="3" borderId="32" xfId="2" applyNumberFormat="1" applyFont="1" applyFill="1" applyBorder="1" applyAlignment="1">
      <alignment horizontal="center" vertical="center"/>
    </xf>
    <xf numFmtId="1" fontId="48" fillId="10" borderId="79" xfId="2" applyNumberFormat="1" applyFont="1" applyFill="1" applyBorder="1" applyAlignment="1">
      <alignment horizontal="center" vertical="center"/>
    </xf>
    <xf numFmtId="1" fontId="48" fillId="10" borderId="88" xfId="2" applyNumberFormat="1" applyFont="1" applyFill="1" applyBorder="1" applyAlignment="1">
      <alignment horizontal="center" vertical="center"/>
    </xf>
    <xf numFmtId="1" fontId="48" fillId="10" borderId="83" xfId="2" applyNumberFormat="1" applyFont="1" applyFill="1" applyBorder="1" applyAlignment="1">
      <alignment horizontal="center" vertical="center"/>
    </xf>
    <xf numFmtId="3" fontId="10" fillId="6" borderId="82" xfId="2" applyNumberFormat="1" applyFont="1" applyFill="1" applyBorder="1" applyAlignment="1">
      <alignment horizontal="center" vertical="center"/>
    </xf>
    <xf numFmtId="49" fontId="48" fillId="3" borderId="16" xfId="2" applyNumberFormat="1" applyFont="1" applyFill="1" applyBorder="1" applyAlignment="1">
      <alignment horizontal="center" vertical="center"/>
    </xf>
    <xf numFmtId="49" fontId="18" fillId="3" borderId="16" xfId="0" applyNumberFormat="1" applyFont="1" applyFill="1" applyBorder="1" applyAlignment="1">
      <alignment horizontal="center" vertical="center"/>
    </xf>
    <xf numFmtId="49" fontId="18" fillId="3" borderId="9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59" xfId="2" applyNumberFormat="1" applyFont="1" applyFill="1" applyBorder="1" applyAlignment="1">
      <alignment horizontal="center" vertical="center"/>
    </xf>
    <xf numFmtId="49" fontId="18" fillId="3" borderId="6" xfId="2" applyNumberFormat="1" applyFont="1" applyFill="1" applyBorder="1" applyAlignment="1">
      <alignment horizontal="center" vertical="center"/>
    </xf>
    <xf numFmtId="49" fontId="18" fillId="3" borderId="35" xfId="2" applyNumberFormat="1" applyFont="1" applyFill="1" applyBorder="1" applyAlignment="1">
      <alignment horizontal="center" vertical="center"/>
    </xf>
    <xf numFmtId="49" fontId="48" fillId="3" borderId="9" xfId="2" applyNumberFormat="1" applyFont="1" applyFill="1" applyBorder="1" applyAlignment="1">
      <alignment horizontal="center" vertical="center"/>
    </xf>
    <xf numFmtId="49" fontId="48" fillId="3" borderId="13" xfId="2" applyNumberFormat="1" applyFont="1" applyFill="1" applyBorder="1" applyAlignment="1">
      <alignment horizontal="center" vertical="center"/>
    </xf>
    <xf numFmtId="49" fontId="48" fillId="3" borderId="61" xfId="2" applyNumberFormat="1" applyFont="1" applyFill="1" applyBorder="1" applyAlignment="1">
      <alignment horizontal="center" vertical="center"/>
    </xf>
    <xf numFmtId="49" fontId="48" fillId="3" borderId="30" xfId="2" applyNumberFormat="1" applyFont="1" applyFill="1" applyBorder="1" applyAlignment="1">
      <alignment horizontal="center" vertical="center"/>
    </xf>
    <xf numFmtId="49" fontId="48" fillId="3" borderId="52" xfId="2" applyNumberFormat="1" applyFont="1" applyFill="1" applyBorder="1" applyAlignment="1">
      <alignment horizontal="center" vertical="center"/>
    </xf>
    <xf numFmtId="49" fontId="48" fillId="12" borderId="16" xfId="2" applyNumberFormat="1" applyFont="1" applyFill="1" applyBorder="1" applyAlignment="1">
      <alignment horizontal="center" vertical="center"/>
    </xf>
    <xf numFmtId="49" fontId="48" fillId="12" borderId="9" xfId="2" applyNumberFormat="1" applyFont="1" applyFill="1" applyBorder="1" applyAlignment="1">
      <alignment horizontal="center" vertical="center"/>
    </xf>
    <xf numFmtId="49" fontId="48" fillId="12" borderId="13" xfId="2" applyNumberFormat="1" applyFont="1" applyFill="1" applyBorder="1" applyAlignment="1">
      <alignment horizontal="center" vertical="center"/>
    </xf>
    <xf numFmtId="49" fontId="48" fillId="0" borderId="61" xfId="2" applyNumberFormat="1" applyFont="1" applyFill="1" applyBorder="1" applyAlignment="1">
      <alignment horizontal="center" vertical="center"/>
    </xf>
    <xf numFmtId="1" fontId="102" fillId="10" borderId="16" xfId="2" applyNumberFormat="1" applyFont="1" applyFill="1" applyBorder="1" applyAlignment="1">
      <alignment horizontal="center" vertical="center"/>
    </xf>
    <xf numFmtId="1" fontId="102" fillId="10" borderId="9" xfId="2" applyNumberFormat="1" applyFont="1" applyFill="1" applyBorder="1" applyAlignment="1">
      <alignment horizontal="center" vertical="center"/>
    </xf>
    <xf numFmtId="1" fontId="102" fillId="10" borderId="13" xfId="2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shrinkToFit="1"/>
    </xf>
    <xf numFmtId="0" fontId="35" fillId="0" borderId="22" xfId="0" applyFont="1" applyFill="1" applyBorder="1" applyAlignment="1">
      <alignment horizontal="center" vertical="center" shrinkToFit="1"/>
    </xf>
    <xf numFmtId="0" fontId="35" fillId="0" borderId="34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35" fillId="0" borderId="39" xfId="0" applyFont="1" applyFill="1" applyBorder="1" applyAlignment="1">
      <alignment horizontal="center" vertical="center" shrinkToFit="1"/>
    </xf>
    <xf numFmtId="164" fontId="48" fillId="25" borderId="54" xfId="0" applyNumberFormat="1" applyFont="1" applyFill="1" applyBorder="1" applyAlignment="1">
      <alignment horizontal="center" vertical="center" shrinkToFit="1"/>
    </xf>
    <xf numFmtId="164" fontId="48" fillId="25" borderId="21" xfId="0" applyNumberFormat="1" applyFont="1" applyFill="1" applyBorder="1" applyAlignment="1">
      <alignment horizontal="center" vertical="center" shrinkToFit="1"/>
    </xf>
    <xf numFmtId="164" fontId="48" fillId="25" borderId="16" xfId="0" applyNumberFormat="1" applyFont="1" applyFill="1" applyBorder="1" applyAlignment="1">
      <alignment horizontal="center" vertical="center" shrinkToFit="1"/>
    </xf>
    <xf numFmtId="164" fontId="48" fillId="25" borderId="5" xfId="0" applyNumberFormat="1" applyFont="1" applyFill="1" applyBorder="1" applyAlignment="1">
      <alignment horizontal="center" vertical="center" shrinkToFit="1"/>
    </xf>
    <xf numFmtId="0" fontId="117" fillId="0" borderId="17" xfId="0" applyFont="1" applyFill="1" applyBorder="1" applyAlignment="1">
      <alignment horizontal="center" vertical="center" shrinkToFit="1"/>
    </xf>
    <xf numFmtId="0" fontId="117" fillId="0" borderId="22" xfId="0" applyFont="1" applyFill="1" applyBorder="1" applyAlignment="1">
      <alignment horizontal="center" vertical="center" shrinkToFit="1"/>
    </xf>
    <xf numFmtId="0" fontId="117" fillId="0" borderId="7" xfId="0" applyFont="1" applyFill="1" applyBorder="1" applyAlignment="1">
      <alignment horizontal="center" vertical="center" shrinkToFit="1"/>
    </xf>
    <xf numFmtId="0" fontId="48" fillId="0" borderId="60" xfId="0" applyFont="1" applyFill="1" applyBorder="1" applyAlignment="1">
      <alignment horizontal="left" vertical="center" shrinkToFit="1"/>
    </xf>
    <xf numFmtId="0" fontId="102" fillId="0" borderId="15" xfId="0" applyFont="1" applyFill="1" applyBorder="1" applyAlignment="1">
      <alignment horizontal="left" vertical="center" shrinkToFit="1"/>
    </xf>
    <xf numFmtId="0" fontId="48" fillId="25" borderId="60" xfId="0" applyFont="1" applyFill="1" applyBorder="1" applyAlignment="1">
      <alignment vertical="center" shrinkToFit="1"/>
    </xf>
    <xf numFmtId="0" fontId="102" fillId="25" borderId="15" xfId="0" applyFont="1" applyFill="1" applyBorder="1" applyAlignment="1">
      <alignment vertical="center" shrinkToFit="1"/>
    </xf>
    <xf numFmtId="164" fontId="48" fillId="25" borderId="15" xfId="0" applyNumberFormat="1" applyFont="1" applyFill="1" applyBorder="1" applyAlignment="1">
      <alignment horizontal="center" vertical="center" shrinkToFit="1"/>
    </xf>
    <xf numFmtId="164" fontId="48" fillId="25" borderId="14" xfId="0" applyNumberFormat="1" applyFont="1" applyFill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3" fontId="46" fillId="3" borderId="58" xfId="2" quotePrefix="1" applyNumberFormat="1" applyFont="1" applyFill="1" applyBorder="1" applyAlignment="1">
      <alignment horizontal="center" vertical="center" wrapText="1"/>
    </xf>
    <xf numFmtId="3" fontId="46" fillId="3" borderId="62" xfId="2" quotePrefix="1" applyNumberFormat="1" applyFont="1" applyFill="1" applyBorder="1" applyAlignment="1">
      <alignment horizontal="center" vertical="center" wrapText="1"/>
    </xf>
    <xf numFmtId="3" fontId="46" fillId="3" borderId="91" xfId="2" quotePrefix="1" applyNumberFormat="1" applyFont="1" applyFill="1" applyBorder="1" applyAlignment="1">
      <alignment horizontal="center" vertical="center" wrapText="1"/>
    </xf>
    <xf numFmtId="3" fontId="46" fillId="3" borderId="80" xfId="2" quotePrefix="1" applyNumberFormat="1" applyFont="1" applyFill="1" applyBorder="1" applyAlignment="1">
      <alignment horizontal="center" vertical="center" wrapText="1"/>
    </xf>
    <xf numFmtId="0" fontId="44" fillId="0" borderId="18" xfId="4" applyFont="1" applyBorder="1" applyAlignment="1">
      <alignment horizontal="center" vertical="center" wrapText="1"/>
    </xf>
    <xf numFmtId="0" fontId="44" fillId="3" borderId="73" xfId="0" applyFont="1" applyFill="1" applyBorder="1" applyAlignment="1">
      <alignment horizontal="center" vertical="center"/>
    </xf>
    <xf numFmtId="0" fontId="44" fillId="3" borderId="62" xfId="0" applyFont="1" applyFill="1" applyBorder="1" applyAlignment="1">
      <alignment horizontal="center" vertical="center"/>
    </xf>
    <xf numFmtId="0" fontId="44" fillId="3" borderId="93" xfId="0" applyFont="1" applyFill="1" applyBorder="1" applyAlignment="1">
      <alignment horizontal="center" vertical="center"/>
    </xf>
    <xf numFmtId="0" fontId="44" fillId="3" borderId="80" xfId="0" applyFont="1" applyFill="1" applyBorder="1" applyAlignment="1">
      <alignment horizontal="center" vertical="center"/>
    </xf>
    <xf numFmtId="0" fontId="64" fillId="3" borderId="17" xfId="0" applyFont="1" applyFill="1" applyBorder="1" applyAlignment="1">
      <alignment horizontal="center" vertical="center" wrapText="1"/>
    </xf>
    <xf numFmtId="0" fontId="64" fillId="3" borderId="7" xfId="0" applyFont="1" applyFill="1" applyBorder="1" applyAlignment="1">
      <alignment horizontal="center" vertical="center" wrapText="1"/>
    </xf>
    <xf numFmtId="0" fontId="64" fillId="3" borderId="31" xfId="0" applyFont="1" applyFill="1" applyBorder="1" applyAlignment="1">
      <alignment horizontal="center" vertical="center" wrapText="1"/>
    </xf>
    <xf numFmtId="0" fontId="64" fillId="3" borderId="32" xfId="0" applyFont="1" applyFill="1" applyBorder="1" applyAlignment="1">
      <alignment horizontal="center" vertical="center" wrapText="1"/>
    </xf>
    <xf numFmtId="0" fontId="64" fillId="3" borderId="12" xfId="0" applyFont="1" applyFill="1" applyBorder="1" applyAlignment="1">
      <alignment horizontal="center" vertical="center"/>
    </xf>
    <xf numFmtId="0" fontId="44" fillId="3" borderId="55" xfId="0" applyFont="1" applyFill="1" applyBorder="1" applyAlignment="1">
      <alignment horizontal="center" vertical="center"/>
    </xf>
    <xf numFmtId="0" fontId="44" fillId="3" borderId="53" xfId="0" applyFont="1" applyFill="1" applyBorder="1" applyAlignment="1">
      <alignment horizontal="center" vertical="center"/>
    </xf>
    <xf numFmtId="1" fontId="64" fillId="3" borderId="40" xfId="0" quotePrefix="1" applyNumberFormat="1" applyFont="1" applyFill="1" applyBorder="1" applyAlignment="1">
      <alignment horizontal="center" vertical="center"/>
    </xf>
    <xf numFmtId="1" fontId="64" fillId="3" borderId="49" xfId="0" quotePrefix="1" applyNumberFormat="1" applyFont="1" applyFill="1" applyBorder="1" applyAlignment="1">
      <alignment horizontal="center" vertical="center"/>
    </xf>
    <xf numFmtId="0" fontId="64" fillId="3" borderId="16" xfId="0" applyFont="1" applyFill="1" applyBorder="1" applyAlignment="1">
      <alignment horizontal="center" wrapText="1"/>
    </xf>
    <xf numFmtId="0" fontId="64" fillId="3" borderId="13" xfId="0" applyFont="1" applyFill="1" applyBorder="1" applyAlignment="1">
      <alignment horizontal="center" wrapText="1"/>
    </xf>
    <xf numFmtId="0" fontId="44" fillId="3" borderId="17" xfId="0" applyFont="1" applyFill="1" applyBorder="1" applyAlignment="1">
      <alignment horizontal="center" vertical="center"/>
    </xf>
    <xf numFmtId="0" fontId="44" fillId="3" borderId="7" xfId="0" applyFont="1" applyFill="1" applyBorder="1" applyAlignment="1">
      <alignment horizontal="center" vertical="center"/>
    </xf>
    <xf numFmtId="0" fontId="44" fillId="3" borderId="31" xfId="0" applyFont="1" applyFill="1" applyBorder="1" applyAlignment="1">
      <alignment horizontal="center" vertical="center"/>
    </xf>
    <xf numFmtId="0" fontId="44" fillId="3" borderId="32" xfId="0" applyFont="1" applyFill="1" applyBorder="1" applyAlignment="1">
      <alignment horizontal="center" vertical="center"/>
    </xf>
    <xf numFmtId="0" fontId="64" fillId="3" borderId="75" xfId="0" applyFont="1" applyFill="1" applyBorder="1" applyAlignment="1">
      <alignment horizontal="center"/>
    </xf>
    <xf numFmtId="0" fontId="64" fillId="3" borderId="76" xfId="0" applyFont="1" applyFill="1" applyBorder="1" applyAlignment="1">
      <alignment horizontal="center"/>
    </xf>
    <xf numFmtId="0" fontId="64" fillId="3" borderId="77" xfId="0" applyFont="1" applyFill="1" applyBorder="1" applyAlignment="1">
      <alignment horizontal="center"/>
    </xf>
    <xf numFmtId="0" fontId="54" fillId="3" borderId="34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/>
    </xf>
    <xf numFmtId="0" fontId="44" fillId="3" borderId="35" xfId="0" applyFont="1" applyFill="1" applyBorder="1" applyAlignment="1">
      <alignment horizontal="center" vertical="center"/>
    </xf>
    <xf numFmtId="0" fontId="68" fillId="3" borderId="68" xfId="6" applyFont="1" applyFill="1" applyBorder="1" applyAlignment="1">
      <alignment horizontal="center" vertical="center"/>
    </xf>
    <xf numFmtId="0" fontId="68" fillId="3" borderId="45" xfId="6" applyFont="1" applyFill="1" applyBorder="1" applyAlignment="1">
      <alignment horizontal="center" vertical="center"/>
    </xf>
    <xf numFmtId="0" fontId="92" fillId="5" borderId="15" xfId="0" applyFont="1" applyFill="1" applyBorder="1" applyAlignment="1">
      <alignment horizontal="center" vertical="center"/>
    </xf>
    <xf numFmtId="0" fontId="25" fillId="3" borderId="61" xfId="0" applyFont="1" applyFill="1" applyBorder="1" applyAlignment="1">
      <alignment horizontal="center" vertical="center" wrapText="1"/>
    </xf>
    <xf numFmtId="0" fontId="25" fillId="3" borderId="59" xfId="0" applyFont="1" applyFill="1" applyBorder="1" applyAlignment="1">
      <alignment horizontal="center" vertical="center" wrapText="1"/>
    </xf>
    <xf numFmtId="0" fontId="25" fillId="3" borderId="52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3" fontId="24" fillId="3" borderId="16" xfId="0" applyNumberFormat="1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center" vertical="center" wrapText="1"/>
    </xf>
    <xf numFmtId="3" fontId="24" fillId="3" borderId="13" xfId="0" applyNumberFormat="1" applyFont="1" applyFill="1" applyBorder="1" applyAlignment="1">
      <alignment horizontal="center" vertical="center" wrapText="1"/>
    </xf>
    <xf numFmtId="3" fontId="78" fillId="3" borderId="15" xfId="0" applyNumberFormat="1" applyFont="1" applyFill="1" applyBorder="1" applyAlignment="1">
      <alignment horizontal="center" vertical="center"/>
    </xf>
    <xf numFmtId="0" fontId="18" fillId="3" borderId="0" xfId="7" applyFont="1" applyFill="1" applyAlignment="1">
      <alignment horizontal="center" vertical="top" wrapText="1"/>
    </xf>
    <xf numFmtId="0" fontId="90" fillId="3" borderId="15" xfId="7" applyFont="1" applyFill="1" applyBorder="1" applyAlignment="1">
      <alignment horizontal="left" vertical="center" wrapText="1"/>
    </xf>
    <xf numFmtId="0" fontId="67" fillId="3" borderId="0" xfId="7" applyFont="1" applyFill="1" applyAlignment="1">
      <alignment horizontal="center" vertical="top" wrapText="1"/>
    </xf>
    <xf numFmtId="0" fontId="25" fillId="0" borderId="4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83" fillId="0" borderId="17" xfId="0" applyFont="1" applyBorder="1" applyAlignment="1">
      <alignment horizontal="center" vertical="top" wrapText="1"/>
    </xf>
    <xf numFmtId="0" fontId="83" fillId="0" borderId="22" xfId="0" applyFont="1" applyBorder="1" applyAlignment="1">
      <alignment horizontal="center" vertical="top" wrapText="1"/>
    </xf>
    <xf numFmtId="0" fontId="83" fillId="0" borderId="34" xfId="0" applyFont="1" applyBorder="1" applyAlignment="1">
      <alignment horizontal="center" vertical="top" wrapText="1"/>
    </xf>
    <xf numFmtId="0" fontId="83" fillId="0" borderId="4" xfId="0" applyFont="1" applyBorder="1" applyAlignment="1">
      <alignment horizontal="center" vertical="top" wrapText="1"/>
    </xf>
    <xf numFmtId="0" fontId="83" fillId="0" borderId="18" xfId="0" applyFont="1" applyBorder="1" applyAlignment="1">
      <alignment horizontal="center" vertical="top" wrapText="1"/>
    </xf>
    <xf numFmtId="0" fontId="83" fillId="0" borderId="36" xfId="0" applyFont="1" applyBorder="1" applyAlignment="1">
      <alignment horizontal="center" vertical="top" wrapText="1"/>
    </xf>
    <xf numFmtId="49" fontId="24" fillId="0" borderId="15" xfId="9" applyNumberFormat="1" applyFont="1" applyFill="1" applyBorder="1" applyAlignment="1">
      <alignment horizontal="center" vertical="center"/>
    </xf>
    <xf numFmtId="0" fontId="27" fillId="0" borderId="15" xfId="9" applyFont="1" applyFill="1" applyBorder="1" applyAlignment="1">
      <alignment horizontal="left" vertical="center" wrapText="1"/>
    </xf>
    <xf numFmtId="49" fontId="78" fillId="0" borderId="15" xfId="9" applyNumberFormat="1" applyFont="1" applyFill="1" applyBorder="1" applyAlignment="1">
      <alignment horizontal="center" vertical="center"/>
    </xf>
    <xf numFmtId="0" fontId="26" fillId="0" borderId="15" xfId="9" applyFont="1" applyFill="1" applyBorder="1" applyAlignment="1">
      <alignment horizontal="left" vertical="center" wrapText="1"/>
    </xf>
    <xf numFmtId="49" fontId="25" fillId="0" borderId="15" xfId="9" applyNumberFormat="1" applyFont="1" applyFill="1" applyBorder="1" applyAlignment="1">
      <alignment horizontal="center" vertical="center"/>
    </xf>
    <xf numFmtId="0" fontId="27" fillId="0" borderId="15" xfId="9" quotePrefix="1" applyFont="1" applyFill="1" applyBorder="1" applyAlignment="1">
      <alignment horizontal="left" vertical="center" wrapText="1"/>
    </xf>
    <xf numFmtId="0" fontId="27" fillId="0" borderId="15" xfId="9" applyFont="1" applyFill="1" applyBorder="1" applyAlignment="1">
      <alignment horizontal="left" vertical="center"/>
    </xf>
    <xf numFmtId="3" fontId="25" fillId="5" borderId="15" xfId="0" applyNumberFormat="1" applyFont="1" applyFill="1" applyBorder="1" applyAlignment="1">
      <alignment horizontal="center" vertical="center" wrapText="1"/>
    </xf>
    <xf numFmtId="165" fontId="70" fillId="0" borderId="0" xfId="9" applyNumberFormat="1" applyFont="1" applyFill="1" applyBorder="1" applyAlignment="1">
      <alignment horizontal="center" vertical="center" wrapText="1"/>
    </xf>
    <xf numFmtId="0" fontId="67" fillId="0" borderId="33" xfId="9" applyFont="1" applyFill="1" applyBorder="1" applyAlignment="1">
      <alignment horizontal="right"/>
    </xf>
    <xf numFmtId="0" fontId="26" fillId="0" borderId="15" xfId="9" applyFont="1" applyFill="1" applyBorder="1" applyAlignment="1">
      <alignment horizontal="center" vertical="center" wrapText="1"/>
    </xf>
    <xf numFmtId="0" fontId="26" fillId="5" borderId="15" xfId="9" applyFont="1" applyFill="1" applyBorder="1" applyAlignment="1">
      <alignment horizontal="center" vertical="center" wrapText="1"/>
    </xf>
    <xf numFmtId="3" fontId="26" fillId="5" borderId="15" xfId="9" applyNumberFormat="1" applyFont="1" applyFill="1" applyBorder="1" applyAlignment="1">
      <alignment horizontal="center" vertical="center" wrapText="1"/>
    </xf>
    <xf numFmtId="0" fontId="26" fillId="5" borderId="58" xfId="9" applyFont="1" applyFill="1" applyBorder="1" applyAlignment="1">
      <alignment horizontal="center" vertical="center" wrapText="1"/>
    </xf>
    <xf numFmtId="0" fontId="26" fillId="5" borderId="74" xfId="9" applyFont="1" applyFill="1" applyBorder="1" applyAlignment="1">
      <alignment horizontal="center" vertical="center" wrapText="1"/>
    </xf>
    <xf numFmtId="0" fontId="26" fillId="5" borderId="62" xfId="9" applyFont="1" applyFill="1" applyBorder="1" applyAlignment="1">
      <alignment horizontal="center" vertical="center" wrapText="1"/>
    </xf>
    <xf numFmtId="0" fontId="26" fillId="0" borderId="15" xfId="9" applyFont="1" applyFill="1" applyBorder="1" applyAlignment="1">
      <alignment horizontal="left" vertical="center"/>
    </xf>
    <xf numFmtId="2" fontId="74" fillId="0" borderId="0" xfId="10" applyNumberFormat="1" applyFont="1" applyAlignment="1">
      <alignment horizontal="justify" vertical="top" wrapText="1"/>
    </xf>
    <xf numFmtId="2" fontId="18" fillId="0" borderId="0" xfId="10" applyNumberFormat="1" applyFont="1" applyAlignment="1">
      <alignment horizontal="justify" vertical="top" wrapText="1"/>
    </xf>
    <xf numFmtId="0" fontId="78" fillId="0" borderId="17" xfId="10" applyFont="1" applyBorder="1" applyAlignment="1">
      <alignment horizontal="center" vertical="center"/>
    </xf>
    <xf numFmtId="0" fontId="78" fillId="0" borderId="7" xfId="10" applyFont="1" applyBorder="1" applyAlignment="1">
      <alignment horizontal="center" vertical="center"/>
    </xf>
    <xf numFmtId="0" fontId="60" fillId="0" borderId="31" xfId="10" applyFont="1" applyBorder="1" applyAlignment="1">
      <alignment vertical="center"/>
    </xf>
    <xf numFmtId="0" fontId="60" fillId="0" borderId="32" xfId="10" applyFont="1" applyBorder="1" applyAlignment="1">
      <alignment vertical="center"/>
    </xf>
    <xf numFmtId="0" fontId="78" fillId="0" borderId="75" xfId="10" applyFont="1" applyBorder="1" applyAlignment="1">
      <alignment horizontal="center" vertical="center" wrapText="1"/>
    </xf>
    <xf numFmtId="0" fontId="60" fillId="0" borderId="129" xfId="11" applyFont="1" applyBorder="1" applyAlignment="1">
      <alignment horizontal="center" vertical="center" wrapText="1"/>
    </xf>
    <xf numFmtId="0" fontId="116" fillId="0" borderId="57" xfId="10" applyFont="1" applyBorder="1" applyAlignment="1">
      <alignment horizontal="center"/>
    </xf>
    <xf numFmtId="0" fontId="116" fillId="0" borderId="14" xfId="10" applyFont="1" applyBorder="1" applyAlignment="1"/>
    <xf numFmtId="2" fontId="74" fillId="0" borderId="0" xfId="10" applyNumberFormat="1" applyFont="1" applyAlignment="1">
      <alignment horizontal="justify" wrapText="1"/>
    </xf>
    <xf numFmtId="2" fontId="18" fillId="0" borderId="0" xfId="11" applyNumberFormat="1" applyFont="1" applyAlignment="1">
      <alignment horizontal="justify" wrapText="1"/>
    </xf>
    <xf numFmtId="2" fontId="74" fillId="0" borderId="0" xfId="10" applyNumberFormat="1" applyFont="1" applyAlignment="1">
      <alignment horizontal="left" vertical="top" wrapText="1"/>
    </xf>
    <xf numFmtId="0" fontId="71" fillId="3" borderId="16" xfId="4" applyFont="1" applyFill="1" applyBorder="1" applyAlignment="1">
      <alignment horizontal="center" vertical="center"/>
    </xf>
    <xf numFmtId="0" fontId="71" fillId="3" borderId="13" xfId="4" applyFont="1" applyFill="1" applyBorder="1" applyAlignment="1">
      <alignment horizontal="center" vertical="center"/>
    </xf>
    <xf numFmtId="0" fontId="71" fillId="3" borderId="16" xfId="4" applyFont="1" applyFill="1" applyBorder="1" applyAlignment="1">
      <alignment horizontal="center" vertical="center" wrapText="1"/>
    </xf>
    <xf numFmtId="0" fontId="71" fillId="3" borderId="13" xfId="4" applyFont="1" applyFill="1" applyBorder="1" applyAlignment="1">
      <alignment horizontal="center" vertical="center" wrapText="1"/>
    </xf>
    <xf numFmtId="0" fontId="71" fillId="3" borderId="58" xfId="4" applyFont="1" applyFill="1" applyBorder="1" applyAlignment="1">
      <alignment horizontal="center"/>
    </xf>
    <xf numFmtId="0" fontId="71" fillId="3" borderId="74" xfId="4" applyFont="1" applyFill="1" applyBorder="1" applyAlignment="1">
      <alignment horizontal="center"/>
    </xf>
    <xf numFmtId="0" fontId="71" fillId="3" borderId="62" xfId="4" applyFont="1" applyFill="1" applyBorder="1" applyAlignment="1">
      <alignment horizontal="center"/>
    </xf>
    <xf numFmtId="0" fontId="77" fillId="3" borderId="0" xfId="12" applyFont="1" applyFill="1" applyAlignment="1">
      <alignment horizontal="center" vertical="top" wrapText="1"/>
    </xf>
    <xf numFmtId="0" fontId="65" fillId="3" borderId="0" xfId="12" applyFill="1"/>
    <xf numFmtId="0" fontId="78" fillId="17" borderId="15" xfId="0" applyFont="1" applyFill="1" applyBorder="1" applyAlignment="1">
      <alignment horizontal="center" vertical="top" wrapText="1"/>
    </xf>
    <xf numFmtId="0" fontId="78" fillId="0" borderId="15" xfId="0" applyFont="1" applyBorder="1"/>
    <xf numFmtId="0" fontId="77" fillId="17" borderId="16" xfId="0" applyFont="1" applyFill="1" applyBorder="1" applyAlignment="1">
      <alignment horizontal="center" vertical="top" wrapText="1"/>
    </xf>
    <xf numFmtId="0" fontId="0" fillId="0" borderId="16" xfId="0" applyBorder="1"/>
    <xf numFmtId="4" fontId="46" fillId="6" borderId="79" xfId="2" applyNumberFormat="1" applyFont="1" applyFill="1" applyBorder="1" applyAlignment="1">
      <alignment vertical="center"/>
    </xf>
    <xf numFmtId="4" fontId="46" fillId="6" borderId="88" xfId="2" applyNumberFormat="1" applyFont="1" applyFill="1" applyBorder="1" applyAlignment="1">
      <alignment vertical="center"/>
    </xf>
    <xf numFmtId="4" fontId="46" fillId="6" borderId="82" xfId="2" applyNumberFormat="1" applyFont="1" applyFill="1" applyBorder="1" applyAlignment="1">
      <alignment vertical="center"/>
    </xf>
  </cellXfs>
  <cellStyles count="15">
    <cellStyle name="Normál" xfId="0" builtinId="0"/>
    <cellStyle name="Normál 2" xfId="8"/>
    <cellStyle name="Normál 2 2" xfId="13"/>
    <cellStyle name="Normál 3" xfId="12"/>
    <cellStyle name="Normál 4" xfId="9"/>
    <cellStyle name="Normál 5" xfId="14"/>
    <cellStyle name="Normál_2009.évi 2" xfId="4"/>
    <cellStyle name="Normal_KARSZJ3" xfId="1"/>
    <cellStyle name="Normál_kimutatások" xfId="11"/>
    <cellStyle name="Normál_közvetett tám" xfId="10"/>
    <cellStyle name="Normál_ktgvetés zárszám mellékletei 2" xfId="6"/>
    <cellStyle name="Normál_Mellékletek rendeleti" xfId="7"/>
    <cellStyle name="Normál_Munka1 2" xfId="5"/>
    <cellStyle name="Normál_végső rend. képv.mód-sal" xfId="2"/>
    <cellStyle name="Normál_végső rend. képv.mód-sal 2" xfId="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700898</xdr:colOff>
      <xdr:row>0</xdr:row>
      <xdr:rowOff>40795</xdr:rowOff>
    </xdr:from>
    <xdr:to>
      <xdr:col>5</xdr:col>
      <xdr:colOff>585698</xdr:colOff>
      <xdr:row>1</xdr:row>
      <xdr:rowOff>345595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770214" y="40795"/>
          <a:ext cx="4638314" cy="46654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hu-HU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>1. melléklet a /2019. (.  ) önk. rendelethez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Pénzkészlet 2018. évi változása</a:t>
          </a:r>
        </a:p>
        <a:p>
          <a:pPr algn="ctr" rtl="0">
            <a:defRPr sz="1000"/>
          </a:pPr>
          <a:endParaRPr lang="hu-HU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542925</xdr:colOff>
      <xdr:row>6</xdr:row>
      <xdr:rowOff>76200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609600" y="161925"/>
          <a:ext cx="3590925" cy="8858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10. melléklet a  /2018. (  .) önk. rendelethez</a:t>
          </a: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CSENGŐD KÖZSÉG ÖNKORMÁNYZATA</a:t>
          </a: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Az Önkományzat adósságot keletkeztető fejlesztési célja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834390</xdr:colOff>
      <xdr:row>0</xdr:row>
      <xdr:rowOff>19051</xdr:rowOff>
    </xdr:from>
    <xdr:to>
      <xdr:col>5</xdr:col>
      <xdr:colOff>57165</xdr:colOff>
      <xdr:row>2</xdr:row>
      <xdr:rowOff>238125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443990" y="19051"/>
          <a:ext cx="3432825" cy="542924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11. melléklet a   /2019. (   .) önk. rendelethez</a:t>
          </a: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2018. évi maradványkimutatás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0</xdr:row>
      <xdr:rowOff>161924</xdr:rowOff>
    </xdr:from>
    <xdr:to>
      <xdr:col>5</xdr:col>
      <xdr:colOff>2</xdr:colOff>
      <xdr:row>2</xdr:row>
      <xdr:rowOff>457200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611505" y="161924"/>
          <a:ext cx="2436497" cy="619126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12/A. melléklet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/2019. (  .) önk. rendelethez</a:t>
          </a: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 </a:t>
          </a: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2017. évi mérleg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0</xdr:row>
      <xdr:rowOff>161924</xdr:rowOff>
    </xdr:from>
    <xdr:to>
      <xdr:col>5</xdr:col>
      <xdr:colOff>2</xdr:colOff>
      <xdr:row>1</xdr:row>
      <xdr:rowOff>457200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297305" y="161924"/>
          <a:ext cx="3884297" cy="619126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12/B. melléklet </a:t>
          </a:r>
          <a:r>
            <a:rPr lang="hu-HU" sz="1000" b="0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a /2019. (  .) önk. rendelethez</a:t>
          </a:r>
          <a:r>
            <a:rPr lang="hu-HU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2018. évi mérleg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1847850</xdr:colOff>
      <xdr:row>0</xdr:row>
      <xdr:rowOff>76200</xdr:rowOff>
    </xdr:from>
    <xdr:to>
      <xdr:col>6</xdr:col>
      <xdr:colOff>933449</xdr:colOff>
      <xdr:row>2</xdr:row>
      <xdr:rowOff>495300</xdr:rowOff>
    </xdr:to>
    <xdr:sp macro="" textlink="">
      <xdr:nvSpPr>
        <xdr:cNvPr id="2" name="Szöveg 1" descr="5%-os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2390775" y="76200"/>
          <a:ext cx="10582274" cy="742950"/>
        </a:xfrm>
        <a:prstGeom prst="roundRect">
          <a:avLst>
            <a:gd name="adj" fmla="val 16667"/>
          </a:avLst>
        </a:prstGeom>
        <a:pattFill prst="pct5">
          <a:fgClr>
            <a:srgbClr val="FFFFFF"/>
          </a:fgClr>
          <a:bgClr>
            <a:srgbClr val="FFFFFF"/>
          </a:bgClr>
        </a:pattFill>
        <a:ln w="9525">
          <a:solidFill>
            <a:srgbClr val="000000"/>
          </a:solidFill>
          <a:round/>
          <a:headEnd/>
          <a:tailEnd/>
        </a:ln>
        <a:effectLst>
          <a:outerShdw dist="45791" dir="3378596" algn="ctr" rotWithShape="0">
            <a:srgbClr val="000000"/>
          </a:outerShdw>
        </a:effectLst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12/C. melléklet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/2019. (   .) önk. rendelethez</a:t>
          </a:r>
          <a:endParaRPr lang="hu-HU" sz="9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hu-H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Kimutatás az immateriális javak, tárgyi eszközök, koncesszióba, vagyonkezelésbe adott eszközök állományának alakulásáról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66674</xdr:rowOff>
    </xdr:from>
    <xdr:to>
      <xdr:col>28</xdr:col>
      <xdr:colOff>586750</xdr:colOff>
      <xdr:row>1</xdr:row>
      <xdr:rowOff>466724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5286375" y="66674"/>
          <a:ext cx="2415550" cy="5619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14. melléklet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 /2018. (   .) önk. rendelethez</a:t>
          </a:r>
          <a:endParaRPr lang="hu-HU" sz="1000" b="0" i="0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2018. évi eredménykimutatás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</xdr:rowOff>
    </xdr:from>
    <xdr:to>
      <xdr:col>4</xdr:col>
      <xdr:colOff>0</xdr:colOff>
      <xdr:row>2</xdr:row>
      <xdr:rowOff>542926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333375" y="1"/>
          <a:ext cx="3857625" cy="10287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számú kimutatás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  /2019. (.)önkormányzati rendelethez</a:t>
          </a:r>
          <a:endParaRPr lang="hu-H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Csengőd Község Önkormányzata által nyújtott</a:t>
          </a: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közvetett támogatásokról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</xdr:row>
      <xdr:rowOff>19051</xdr:rowOff>
    </xdr:from>
    <xdr:to>
      <xdr:col>3</xdr:col>
      <xdr:colOff>1200150</xdr:colOff>
      <xdr:row>1</xdr:row>
      <xdr:rowOff>723901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704850" y="180976"/>
          <a:ext cx="3857625" cy="7048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számú kimutatás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  /2019. (.)önkormányzati rendelethez</a:t>
          </a:r>
          <a:endParaRPr lang="hu-H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Csengőd Község Önkormányzata hitelállománya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24764</xdr:colOff>
      <xdr:row>0</xdr:row>
      <xdr:rowOff>9525</xdr:rowOff>
    </xdr:from>
    <xdr:to>
      <xdr:col>7</xdr:col>
      <xdr:colOff>714374</xdr:colOff>
      <xdr:row>0</xdr:row>
      <xdr:rowOff>609600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2263139" y="9525"/>
          <a:ext cx="6156960" cy="600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3. kimutatás </a:t>
          </a: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2018. állami támogatások részletezése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1</xdr:row>
      <xdr:rowOff>114300</xdr:rowOff>
    </xdr:from>
    <xdr:to>
      <xdr:col>3</xdr:col>
      <xdr:colOff>495300</xdr:colOff>
      <xdr:row>4</xdr:row>
      <xdr:rowOff>38100</xdr:rowOff>
    </xdr:to>
    <xdr:sp macro="" textlink="">
      <xdr:nvSpPr>
        <xdr:cNvPr id="2082" name="AutoShape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Arrowheads="1"/>
        </xdr:cNvSpPr>
      </xdr:nvSpPr>
      <xdr:spPr bwMode="auto">
        <a:xfrm>
          <a:off x="1266825" y="276225"/>
          <a:ext cx="3695700" cy="4095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 melléklet a  </a:t>
          </a:r>
          <a:r>
            <a:rPr lang="hu-HU" sz="700" b="0" i="0" u="none" strike="noStrike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....</a:t>
          </a:r>
          <a:r>
            <a:rPr lang="hu-H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/2019. (......)</a:t>
          </a: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önk. rendelethez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Csengőd Község 2018. ÉVI KÖLTSÉGVETÉSÉNEK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ÖSSZEVONT MÉRLEGE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895349</xdr:colOff>
      <xdr:row>0</xdr:row>
      <xdr:rowOff>85725</xdr:rowOff>
    </xdr:from>
    <xdr:to>
      <xdr:col>4</xdr:col>
      <xdr:colOff>4943474</xdr:colOff>
      <xdr:row>2</xdr:row>
      <xdr:rowOff>104775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628899" y="85725"/>
          <a:ext cx="4048125" cy="361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 melléklet a ../2019. (....) önk. rendelethez</a:t>
          </a: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2018. ÉVI KÖLTSÉGVETÉSI BEVÉTELEK ÉS KIADÁSOK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133350</xdr:rowOff>
    </xdr:from>
    <xdr:to>
      <xdr:col>10</xdr:col>
      <xdr:colOff>381000</xdr:colOff>
      <xdr:row>2</xdr:row>
      <xdr:rowOff>142875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rrowheads="1"/>
        </xdr:cNvSpPr>
      </xdr:nvSpPr>
      <xdr:spPr bwMode="auto">
        <a:xfrm>
          <a:off x="1743075" y="133350"/>
          <a:ext cx="5534025" cy="3714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melléklet a .../2019. (.....)  önk. rendelethez</a:t>
          </a:r>
        </a:p>
        <a:p>
          <a:pPr algn="ctr" rtl="0">
            <a:lnSpc>
              <a:spcPts val="700"/>
            </a:lnSpc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AZ ÖNKORMÁNYZAT ÁLTAL IRÁNYÍTOTT KÖLTSÉGVETÉSI SZERVEK  2018. ÉVI BEVÉTELEI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2124075</xdr:colOff>
      <xdr:row>1</xdr:row>
      <xdr:rowOff>38100</xdr:rowOff>
    </xdr:from>
    <xdr:to>
      <xdr:col>14</xdr:col>
      <xdr:colOff>0</xdr:colOff>
      <xdr:row>3</xdr:row>
      <xdr:rowOff>85724</xdr:rowOff>
    </xdr:to>
    <xdr:sp macro="" textlink="">
      <xdr:nvSpPr>
        <xdr:cNvPr id="32769" name="AutoShape 1">
          <a:extLst>
            <a:ext uri="{FF2B5EF4-FFF2-40B4-BE49-F238E27FC236}">
              <a16:creationId xmlns:a16="http://schemas.microsoft.com/office/drawing/2014/main" id="{00000000-0008-0000-0400-000001800000}"/>
            </a:ext>
          </a:extLst>
        </xdr:cNvPr>
        <xdr:cNvSpPr>
          <a:spLocks noChangeArrowheads="1"/>
        </xdr:cNvSpPr>
      </xdr:nvSpPr>
      <xdr:spPr bwMode="auto">
        <a:xfrm>
          <a:off x="2838450" y="38100"/>
          <a:ext cx="7019925" cy="495299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melléklet a .../2019 (.....) önk. rendelethez</a:t>
          </a: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2018. ÉVI KÖLTSÉGVETÉSI KIADÁSOK</a:t>
          </a: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 Címek, alcímek és kiemelt előirányzatok szerint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1735931</xdr:colOff>
      <xdr:row>0</xdr:row>
      <xdr:rowOff>116681</xdr:rowOff>
    </xdr:from>
    <xdr:to>
      <xdr:col>4</xdr:col>
      <xdr:colOff>69056</xdr:colOff>
      <xdr:row>2</xdr:row>
      <xdr:rowOff>257175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2164556" y="116681"/>
          <a:ext cx="5381625" cy="450057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 melléklet a ..../2019. (.....) önkormányzati rendelethez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BERUHÁZÁSOK, FELÚJÍTÁSOK , EGYÉB FELHALMOZÁSI JELLEGŰ KIADÁSOK, FINANSZÍROZÁSI KIADÁSOK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( beruházásonként, felújításonként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1560195</xdr:colOff>
      <xdr:row>1</xdr:row>
      <xdr:rowOff>0</xdr:rowOff>
    </xdr:from>
    <xdr:to>
      <xdr:col>4</xdr:col>
      <xdr:colOff>699159</xdr:colOff>
      <xdr:row>6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941195" y="485775"/>
          <a:ext cx="5206389" cy="8191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7. melléklet a /2018. (  .) önk. rendelethez</a:t>
          </a: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CSENGŐD KÖZSÉGÖNKORMÁNYZATA</a:t>
          </a: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2018. ÉVI CÉLTARTALÉKA</a:t>
          </a:r>
        </a:p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(feladatonként)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</xdr:row>
      <xdr:rowOff>66675</xdr:rowOff>
    </xdr:from>
    <xdr:to>
      <xdr:col>9</xdr:col>
      <xdr:colOff>180975</xdr:colOff>
      <xdr:row>1</xdr:row>
      <xdr:rowOff>600075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762000" y="257175"/>
          <a:ext cx="6924675" cy="5334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8.  melléklet </a:t>
          </a:r>
          <a:r>
            <a:rPr lang="hu-HU" sz="10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 /2019</a:t>
          </a:r>
          <a:r>
            <a:rPr lang="hu-HU" sz="1000" b="1" i="0" u="none" strike="noStrike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r>
            <a:rPr lang="hu-HU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hu-HU" sz="1000" b="1" i="0" u="none" strike="noStrike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hu-HU" sz="1000" b="1" i="0" u="none" strike="noStrike" baseline="0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   ). önkormányzati rendelethez</a:t>
          </a:r>
          <a:r>
            <a:rPr lang="hu-HU" sz="1000" b="1" i="0" u="none" strike="noStrike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 </a:t>
          </a:r>
          <a:r>
            <a:rPr lang="hu-HU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hu-HU" sz="1000" b="1" i="0" u="none" strike="noStrike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hu-HU" sz="700" b="1" i="0" u="none" strike="noStrike" baseline="0">
            <a:solidFill>
              <a:srgbClr val="000000"/>
            </a:solidFill>
            <a:latin typeface="Times New Roman" panose="02020603050405020304" pitchFamily="18" charset="0"/>
            <a:ea typeface="Tahoma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CSENGŐD KÖZSÉG 2018. ÉVI EURÓPAI UNIÓS FORRÁSBÓL FINANSZÍROZOTT TÁMOGATÁSSAL MEGVALÓSULÓ PROGRAMJAI, PROJEKTJEI, ILLETVE ILYEN PROJEKTEKHEZ TÖRTÉNŐ HOZZÁJÁRULÁSAI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</xdr:colOff>
      <xdr:row>0</xdr:row>
      <xdr:rowOff>0</xdr:rowOff>
    </xdr:from>
    <xdr:to>
      <xdr:col>6</xdr:col>
      <xdr:colOff>226684</xdr:colOff>
      <xdr:row>1</xdr:row>
      <xdr:rowOff>323849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221105" y="0"/>
          <a:ext cx="2663179" cy="485774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7961" dir="2700000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9. melléklet </a:t>
          </a:r>
          <a:r>
            <a:rPr kumimoji="0" lang="hu-HU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ahoma"/>
              <a:ea typeface="Tahoma"/>
              <a:cs typeface="Tahoma"/>
            </a:rPr>
            <a:t>a /2018. (   .) önk. rendelethez</a:t>
          </a:r>
          <a:endParaRPr lang="hu-HU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Több éves kihatással járó döntések (előirányzatai) számszerűsítése évenkénti bontásban és összesítve</a:t>
          </a:r>
          <a:endParaRPr lang="hu-HU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u-HU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seng&#337;d\K&#233;pvisel&#337;-test&#252;leti%20&#252;l&#233;s\2018-01-30\K&#246;z&#233;pt&#225;v&#250;%20tervez&#233;s%202019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seng&#337;d\Z&#225;rsz&#225;mad&#225;s2016\polg&#225;rmester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seng&#337;d\Z&#225;rsz&#225;mad&#225;s2016\fam&#237;l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seng&#337;d\Z&#225;rsz&#225;mad&#225;s2016\&#243;vo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 refreshError="1">
        <row r="16">
          <cell r="F16">
            <v>50131000</v>
          </cell>
          <cell r="G16">
            <v>52813620</v>
          </cell>
          <cell r="H16">
            <v>58027892.400000006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4"/>
      <sheetName val="05 A"/>
      <sheetName val="06 A"/>
      <sheetName val="07 A"/>
      <sheetName val="08"/>
      <sheetName val="09 A"/>
      <sheetName val="12 A"/>
      <sheetName val="13 A"/>
      <sheetName val="15 A"/>
      <sheetName val="16 A"/>
      <sheetName val="17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3">
          <cell r="C23">
            <v>173101</v>
          </cell>
        </row>
        <row r="24">
          <cell r="C24">
            <v>350202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4"/>
      <sheetName val="05 A"/>
      <sheetName val="06 A"/>
      <sheetName val="07 A"/>
      <sheetName val="08"/>
      <sheetName val="09 A"/>
      <sheetName val="12 A"/>
      <sheetName val="13 A"/>
      <sheetName val="15 A"/>
      <sheetName val="16 A"/>
      <sheetName val="17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5">
          <cell r="C25">
            <v>14348196</v>
          </cell>
        </row>
        <row r="26">
          <cell r="C26">
            <v>271730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4"/>
      <sheetName val="05 A"/>
      <sheetName val="06 A"/>
      <sheetName val="07 A"/>
      <sheetName val="08"/>
      <sheetName val="09 A"/>
      <sheetName val="12 A"/>
      <sheetName val="13 A"/>
      <sheetName val="15 A"/>
      <sheetName val="16 A"/>
      <sheetName val="17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3895</v>
          </cell>
        </row>
        <row r="14">
          <cell r="C14">
            <v>82388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106" zoomScaleSheetLayoutView="106" workbookViewId="0">
      <selection activeCell="C14" sqref="C14"/>
    </sheetView>
  </sheetViews>
  <sheetFormatPr defaultRowHeight="12.75" x14ac:dyDescent="0.2"/>
  <cols>
    <col min="1" max="1" width="16" customWidth="1"/>
    <col min="2" max="2" width="24.28515625" customWidth="1"/>
    <col min="3" max="3" width="15.85546875" customWidth="1"/>
    <col min="4" max="4" width="14.42578125" customWidth="1"/>
    <col min="5" max="5" width="16.7109375" customWidth="1"/>
    <col min="6" max="7" width="15" customWidth="1"/>
  </cols>
  <sheetData>
    <row r="1" spans="1:8" x14ac:dyDescent="0.2">
      <c r="A1" s="290"/>
      <c r="B1" s="290"/>
      <c r="C1" s="290"/>
      <c r="D1" s="290"/>
      <c r="E1" s="290"/>
      <c r="F1" s="290"/>
      <c r="G1" s="290"/>
      <c r="H1" s="290"/>
    </row>
    <row r="2" spans="1:8" ht="35.25" customHeight="1" x14ac:dyDescent="0.2">
      <c r="A2" s="1483"/>
      <c r="B2" s="1483"/>
      <c r="C2" s="1483"/>
      <c r="D2" s="1483"/>
      <c r="E2" s="1483"/>
      <c r="F2" s="1483"/>
      <c r="G2" s="1483"/>
      <c r="H2" s="1483"/>
    </row>
    <row r="3" spans="1:8" s="296" customFormat="1" ht="15" x14ac:dyDescent="0.25">
      <c r="A3" s="291" t="s">
        <v>559</v>
      </c>
      <c r="B3" s="291" t="s">
        <v>559</v>
      </c>
      <c r="C3" s="1"/>
      <c r="G3" s="292"/>
      <c r="H3" s="91"/>
    </row>
    <row r="4" spans="1:8" ht="15.75" thickBot="1" x14ac:dyDescent="0.3">
      <c r="A4" s="291" t="s">
        <v>559</v>
      </c>
      <c r="B4" s="291" t="s">
        <v>559</v>
      </c>
      <c r="C4" s="1"/>
      <c r="D4" s="296"/>
      <c r="E4" s="296"/>
      <c r="F4" s="296"/>
      <c r="G4" s="718" t="s">
        <v>560</v>
      </c>
      <c r="H4" s="91"/>
    </row>
    <row r="5" spans="1:8" ht="39" thickBot="1" x14ac:dyDescent="0.25">
      <c r="A5" s="308" t="s">
        <v>449</v>
      </c>
      <c r="B5" s="310" t="s">
        <v>559</v>
      </c>
      <c r="C5" s="308" t="s">
        <v>208</v>
      </c>
      <c r="D5" s="309" t="s">
        <v>207</v>
      </c>
      <c r="E5" s="309" t="s">
        <v>561</v>
      </c>
      <c r="F5" s="309" t="s">
        <v>189</v>
      </c>
      <c r="G5" s="293" t="s">
        <v>299</v>
      </c>
      <c r="H5" s="91"/>
    </row>
    <row r="6" spans="1:8" ht="12.75" customHeight="1" x14ac:dyDescent="0.2">
      <c r="A6" s="300" t="s">
        <v>559</v>
      </c>
      <c r="B6" s="300" t="s">
        <v>559</v>
      </c>
      <c r="C6" s="300" t="s">
        <v>559</v>
      </c>
      <c r="D6" s="301"/>
      <c r="E6" s="301"/>
      <c r="F6" s="301"/>
      <c r="G6" s="302"/>
      <c r="H6" s="91"/>
    </row>
    <row r="7" spans="1:8" ht="12.75" customHeight="1" x14ac:dyDescent="0.2">
      <c r="A7" s="1486" t="s">
        <v>624</v>
      </c>
      <c r="B7" s="1486"/>
      <c r="C7" s="297">
        <v>203242894</v>
      </c>
      <c r="D7" s="298">
        <v>181003</v>
      </c>
      <c r="E7" s="298">
        <v>14010</v>
      </c>
      <c r="F7" s="298">
        <v>40063</v>
      </c>
      <c r="G7" s="303">
        <f>SUM(C7:F7)</f>
        <v>203477970</v>
      </c>
      <c r="H7" s="91"/>
    </row>
    <row r="8" spans="1:8" ht="12.75" customHeight="1" x14ac:dyDescent="0.2">
      <c r="A8" s="1487" t="s">
        <v>562</v>
      </c>
      <c r="B8" s="716" t="s">
        <v>563</v>
      </c>
      <c r="C8" s="299">
        <v>863873808</v>
      </c>
      <c r="D8" s="298">
        <v>16685344</v>
      </c>
      <c r="E8" s="298">
        <v>48266905</v>
      </c>
      <c r="F8" s="298">
        <v>5300616</v>
      </c>
      <c r="G8" s="303">
        <f t="shared" ref="G8:G9" si="0">SUM(C8:F8)</f>
        <v>934126673</v>
      </c>
      <c r="H8" s="91"/>
    </row>
    <row r="9" spans="1:8" ht="12.75" customHeight="1" x14ac:dyDescent="0.2">
      <c r="A9" s="1487"/>
      <c r="B9" s="716" t="s">
        <v>564</v>
      </c>
      <c r="C9" s="299">
        <v>766260473</v>
      </c>
      <c r="D9" s="298">
        <v>16638165</v>
      </c>
      <c r="E9" s="298">
        <v>48182014</v>
      </c>
      <c r="F9" s="298">
        <v>5268599</v>
      </c>
      <c r="G9" s="303">
        <f t="shared" si="0"/>
        <v>836349251</v>
      </c>
      <c r="H9" s="91"/>
    </row>
    <row r="10" spans="1:8" ht="12.75" customHeight="1" x14ac:dyDescent="0.2">
      <c r="A10" s="1484" t="s">
        <v>565</v>
      </c>
      <c r="B10" s="1484"/>
      <c r="C10" s="299">
        <v>0</v>
      </c>
      <c r="D10" s="298">
        <v>0</v>
      </c>
      <c r="E10" s="298">
        <v>0</v>
      </c>
      <c r="F10" s="298">
        <v>0</v>
      </c>
      <c r="G10" s="303">
        <f t="shared" ref="G10:G11" si="1">SUM(D10:F10)</f>
        <v>0</v>
      </c>
      <c r="H10" s="91"/>
    </row>
    <row r="11" spans="1:8" ht="13.5" customHeight="1" thickBot="1" x14ac:dyDescent="0.25">
      <c r="A11" s="1485" t="s">
        <v>566</v>
      </c>
      <c r="B11" s="1485"/>
      <c r="C11" s="304"/>
      <c r="D11" s="305"/>
      <c r="E11" s="305"/>
      <c r="F11" s="305"/>
      <c r="G11" s="306">
        <f t="shared" si="1"/>
        <v>0</v>
      </c>
      <c r="H11" s="91"/>
    </row>
    <row r="12" spans="1:8" ht="13.5" customHeight="1" thickBot="1" x14ac:dyDescent="0.25">
      <c r="A12" s="1481" t="s">
        <v>625</v>
      </c>
      <c r="B12" s="1482"/>
      <c r="C12" s="307">
        <v>300856229</v>
      </c>
      <c r="D12" s="294">
        <v>228182</v>
      </c>
      <c r="E12" s="294">
        <v>98901</v>
      </c>
      <c r="F12" s="294">
        <v>72080</v>
      </c>
      <c r="G12" s="295">
        <f>SUM(C12:F12)</f>
        <v>301255392</v>
      </c>
      <c r="H12" s="91"/>
    </row>
    <row r="13" spans="1:8" x14ac:dyDescent="0.2">
      <c r="A13" s="296"/>
      <c r="B13" s="296"/>
      <c r="C13" s="296"/>
      <c r="D13" s="296"/>
      <c r="E13" s="296"/>
      <c r="F13" s="296"/>
      <c r="G13" s="296"/>
      <c r="H13" s="296"/>
    </row>
  </sheetData>
  <mergeCells count="6">
    <mergeCell ref="A12:B12"/>
    <mergeCell ref="A2:H2"/>
    <mergeCell ref="A10:B10"/>
    <mergeCell ref="A11:B11"/>
    <mergeCell ref="A7:B7"/>
    <mergeCell ref="A8:A9"/>
  </mergeCells>
  <pageMargins left="0.7" right="0.7" top="0.75" bottom="0.75" header="0.3" footer="0.3"/>
  <pageSetup paperSize="9" scale="76" orientation="portrait" r:id="rId1"/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10" sqref="A10:XFD13"/>
    </sheetView>
  </sheetViews>
  <sheetFormatPr defaultRowHeight="12.75" x14ac:dyDescent="0.2"/>
  <cols>
    <col min="1" max="1" width="5.140625" customWidth="1"/>
    <col min="2" max="2" width="13.42578125" customWidth="1"/>
    <col min="3" max="3" width="12.42578125" customWidth="1"/>
    <col min="4" max="4" width="12" customWidth="1"/>
    <col min="5" max="5" width="14.42578125" customWidth="1"/>
    <col min="6" max="6" width="11.5703125" customWidth="1"/>
    <col min="7" max="7" width="10.42578125" customWidth="1"/>
    <col min="8" max="8" width="13.28515625" customWidth="1"/>
  </cols>
  <sheetData>
    <row r="1" spans="1:9" x14ac:dyDescent="0.2">
      <c r="A1" s="247"/>
      <c r="B1" s="247"/>
      <c r="C1" s="247"/>
      <c r="D1" s="247"/>
      <c r="E1" s="247"/>
      <c r="F1" s="247"/>
      <c r="G1" s="247"/>
      <c r="H1" s="247"/>
      <c r="I1" s="248"/>
    </row>
    <row r="2" spans="1:9" x14ac:dyDescent="0.2">
      <c r="A2" s="247"/>
      <c r="B2" s="247"/>
      <c r="C2" s="247"/>
      <c r="D2" s="247"/>
      <c r="E2" s="247"/>
      <c r="F2" s="249"/>
      <c r="G2" s="250"/>
      <c r="H2" s="251"/>
      <c r="I2" s="248"/>
    </row>
    <row r="3" spans="1:9" x14ac:dyDescent="0.2">
      <c r="A3" s="247"/>
      <c r="B3" s="247"/>
      <c r="C3" s="247"/>
      <c r="D3" s="247"/>
      <c r="E3" s="247"/>
      <c r="F3" s="249"/>
      <c r="G3" s="250"/>
      <c r="H3" s="251"/>
      <c r="I3" s="248"/>
    </row>
    <row r="4" spans="1:9" x14ac:dyDescent="0.2">
      <c r="A4" s="247"/>
      <c r="B4" s="247"/>
      <c r="C4" s="247"/>
      <c r="D4" s="247"/>
      <c r="E4" s="247"/>
      <c r="F4" s="249"/>
      <c r="G4" s="250"/>
      <c r="H4" s="251"/>
      <c r="I4" s="248"/>
    </row>
    <row r="5" spans="1:9" x14ac:dyDescent="0.2">
      <c r="A5" s="247"/>
      <c r="B5" s="247"/>
      <c r="C5" s="247"/>
      <c r="D5" s="247"/>
      <c r="E5" s="247"/>
      <c r="F5" s="249"/>
      <c r="G5" s="250"/>
      <c r="H5" s="251"/>
      <c r="I5" s="248"/>
    </row>
    <row r="6" spans="1:9" x14ac:dyDescent="0.2">
      <c r="A6" s="247"/>
      <c r="B6" s="247"/>
      <c r="C6" s="247"/>
      <c r="D6" s="247"/>
      <c r="E6" s="247"/>
      <c r="F6" s="249"/>
      <c r="G6" s="250"/>
      <c r="H6" s="252"/>
      <c r="I6" s="248"/>
    </row>
    <row r="7" spans="1:9" ht="13.5" thickBot="1" x14ac:dyDescent="0.25">
      <c r="A7" s="247"/>
      <c r="B7" s="247"/>
      <c r="C7" s="247"/>
      <c r="D7" s="247"/>
      <c r="E7" s="247"/>
      <c r="F7" s="249"/>
      <c r="G7" s="250"/>
      <c r="H7" s="252" t="s">
        <v>308</v>
      </c>
      <c r="I7" s="248"/>
    </row>
    <row r="8" spans="1:9" ht="63.75" x14ac:dyDescent="0.2">
      <c r="A8" s="253"/>
      <c r="B8" s="254" t="s">
        <v>326</v>
      </c>
      <c r="C8" s="255" t="s">
        <v>327</v>
      </c>
      <c r="D8" s="255" t="s">
        <v>328</v>
      </c>
      <c r="E8" s="256" t="s">
        <v>329</v>
      </c>
      <c r="F8" s="256" t="s">
        <v>330</v>
      </c>
      <c r="G8" s="256" t="s">
        <v>331</v>
      </c>
      <c r="H8" s="256" t="s">
        <v>332</v>
      </c>
      <c r="I8" s="248"/>
    </row>
    <row r="9" spans="1:9" ht="13.5" thickBot="1" x14ac:dyDescent="0.25">
      <c r="A9" s="257" t="s">
        <v>2</v>
      </c>
      <c r="B9" s="258"/>
      <c r="C9" s="259"/>
      <c r="D9" s="260"/>
      <c r="E9" s="260"/>
      <c r="F9" s="261"/>
      <c r="G9" s="261"/>
      <c r="H9" s="261"/>
      <c r="I9" s="248"/>
    </row>
    <row r="10" spans="1:9" ht="13.5" thickBot="1" x14ac:dyDescent="0.25">
      <c r="A10" s="2006" t="s">
        <v>316</v>
      </c>
      <c r="B10" s="2007"/>
      <c r="C10" s="262"/>
      <c r="D10" s="263"/>
      <c r="E10" s="264"/>
      <c r="F10" s="265"/>
      <c r="G10" s="265"/>
      <c r="H10" s="265"/>
      <c r="I10" s="248"/>
    </row>
    <row r="11" spans="1:9" x14ac:dyDescent="0.2">
      <c r="A11" s="266"/>
      <c r="B11" s="266"/>
      <c r="C11" s="266"/>
      <c r="D11" s="266"/>
      <c r="E11" s="266"/>
      <c r="F11" s="266"/>
      <c r="G11" s="266"/>
      <c r="H11" s="267"/>
      <c r="I11" s="248"/>
    </row>
    <row r="12" spans="1:9" x14ac:dyDescent="0.2">
      <c r="A12" s="248"/>
      <c r="B12" s="248"/>
      <c r="C12" s="248"/>
      <c r="D12" s="248"/>
      <c r="E12" s="248"/>
      <c r="F12" s="248"/>
      <c r="G12" s="248"/>
      <c r="H12" s="268"/>
      <c r="I12" s="248"/>
    </row>
  </sheetData>
  <mergeCells count="1">
    <mergeCell ref="A10:B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6" workbookViewId="0">
      <selection activeCell="E45" sqref="E45"/>
    </sheetView>
  </sheetViews>
  <sheetFormatPr defaultRowHeight="12.75" x14ac:dyDescent="0.2"/>
  <cols>
    <col min="2" max="2" width="17.5703125" customWidth="1"/>
    <col min="3" max="3" width="21.140625" style="709" customWidth="1"/>
    <col min="4" max="4" width="19.85546875" customWidth="1"/>
    <col min="5" max="5" width="19.5703125" style="709" customWidth="1"/>
    <col min="6" max="6" width="15.42578125" customWidth="1"/>
    <col min="7" max="7" width="12.140625" customWidth="1"/>
  </cols>
  <sheetData>
    <row r="1" spans="1:7" x14ac:dyDescent="0.2">
      <c r="A1" s="269"/>
      <c r="B1" s="269"/>
      <c r="C1" s="806"/>
      <c r="D1" s="269"/>
      <c r="E1" s="806"/>
      <c r="F1" s="269"/>
      <c r="G1" s="269"/>
    </row>
    <row r="2" spans="1:7" x14ac:dyDescent="0.2">
      <c r="A2" s="269"/>
      <c r="B2" s="269"/>
      <c r="C2" s="806"/>
      <c r="D2" s="269"/>
      <c r="E2" s="806"/>
      <c r="F2" s="269"/>
      <c r="G2" s="269"/>
    </row>
    <row r="3" spans="1:7" ht="27.75" customHeight="1" x14ac:dyDescent="0.2">
      <c r="A3" s="269"/>
      <c r="B3" s="269"/>
      <c r="C3" s="806"/>
      <c r="D3" s="269"/>
      <c r="E3" s="806"/>
      <c r="F3" s="269"/>
      <c r="G3" s="269" t="s">
        <v>296</v>
      </c>
    </row>
    <row r="4" spans="1:7" x14ac:dyDescent="0.2">
      <c r="A4" s="2009" t="s">
        <v>613</v>
      </c>
      <c r="B4" s="2010"/>
      <c r="C4" s="1618" t="s">
        <v>208</v>
      </c>
      <c r="D4" s="1618" t="s">
        <v>207</v>
      </c>
      <c r="E4" s="1618" t="s">
        <v>188</v>
      </c>
      <c r="F4" s="1618" t="s">
        <v>189</v>
      </c>
      <c r="G4" s="2008" t="s">
        <v>16</v>
      </c>
    </row>
    <row r="5" spans="1:7" ht="54.75" customHeight="1" x14ac:dyDescent="0.2">
      <c r="A5" s="2011"/>
      <c r="B5" s="2012"/>
      <c r="C5" s="1618"/>
      <c r="D5" s="1618"/>
      <c r="E5" s="1618"/>
      <c r="F5" s="1618"/>
      <c r="G5" s="2008"/>
    </row>
    <row r="6" spans="1:7" ht="48" customHeight="1" x14ac:dyDescent="0.2">
      <c r="A6" s="534" t="s">
        <v>333</v>
      </c>
      <c r="B6" s="535" t="s">
        <v>334</v>
      </c>
      <c r="C6" s="536">
        <v>536820681</v>
      </c>
      <c r="D6" s="536">
        <v>1250486</v>
      </c>
      <c r="E6" s="536">
        <v>10352452</v>
      </c>
      <c r="F6" s="536">
        <v>4893</v>
      </c>
      <c r="G6" s="537">
        <f>SUM(C6:F6)</f>
        <v>548428512</v>
      </c>
    </row>
    <row r="7" spans="1:7" ht="41.25" customHeight="1" x14ac:dyDescent="0.2">
      <c r="A7" s="534" t="s">
        <v>335</v>
      </c>
      <c r="B7" s="535" t="s">
        <v>336</v>
      </c>
      <c r="C7" s="536">
        <v>287975356</v>
      </c>
      <c r="D7" s="536">
        <v>49960824</v>
      </c>
      <c r="E7" s="536">
        <v>67695997</v>
      </c>
      <c r="F7" s="536">
        <v>44947264</v>
      </c>
      <c r="G7" s="537">
        <f t="shared" ref="G7:G24" si="0">SUM(C7:F7)</f>
        <v>450579441</v>
      </c>
    </row>
    <row r="8" spans="1:7" ht="45" customHeight="1" x14ac:dyDescent="0.25">
      <c r="A8" s="538" t="s">
        <v>337</v>
      </c>
      <c r="B8" s="539" t="s">
        <v>338</v>
      </c>
      <c r="C8" s="807">
        <f>C6-C7</f>
        <v>248845325</v>
      </c>
      <c r="D8" s="540">
        <f t="shared" ref="D8:F8" si="1">D6-D7</f>
        <v>-48710338</v>
      </c>
      <c r="E8" s="807">
        <f t="shared" si="1"/>
        <v>-57343545</v>
      </c>
      <c r="F8" s="540">
        <f t="shared" si="1"/>
        <v>-44942371</v>
      </c>
      <c r="G8" s="537">
        <f t="shared" si="0"/>
        <v>97849071</v>
      </c>
    </row>
    <row r="9" spans="1:7" ht="46.5" customHeight="1" x14ac:dyDescent="0.2">
      <c r="A9" s="534" t="s">
        <v>339</v>
      </c>
      <c r="B9" s="535" t="s">
        <v>340</v>
      </c>
      <c r="C9" s="536">
        <v>359047419</v>
      </c>
      <c r="D9" s="536">
        <v>48763645</v>
      </c>
      <c r="E9" s="536">
        <v>57431144</v>
      </c>
      <c r="F9" s="536">
        <v>44879373</v>
      </c>
      <c r="G9" s="537">
        <f t="shared" si="0"/>
        <v>510121581</v>
      </c>
    </row>
    <row r="10" spans="1:7" ht="47.25" customHeight="1" x14ac:dyDescent="0.2">
      <c r="A10" s="534" t="s">
        <v>341</v>
      </c>
      <c r="B10" s="535" t="s">
        <v>342</v>
      </c>
      <c r="C10" s="536">
        <v>314311878</v>
      </c>
      <c r="D10" s="536">
        <v>0</v>
      </c>
      <c r="E10" s="536">
        <v>0</v>
      </c>
      <c r="F10" s="536">
        <v>0</v>
      </c>
      <c r="G10" s="537">
        <f t="shared" si="0"/>
        <v>314311878</v>
      </c>
    </row>
    <row r="11" spans="1:7" ht="58.5" customHeight="1" x14ac:dyDescent="0.25">
      <c r="A11" s="538" t="s">
        <v>343</v>
      </c>
      <c r="B11" s="539" t="s">
        <v>344</v>
      </c>
      <c r="C11" s="807">
        <f>C9-C10</f>
        <v>44735541</v>
      </c>
      <c r="D11" s="540">
        <f t="shared" ref="D11:F11" si="2">D9-D10</f>
        <v>48763645</v>
      </c>
      <c r="E11" s="807">
        <f t="shared" si="2"/>
        <v>57431144</v>
      </c>
      <c r="F11" s="540">
        <f t="shared" si="2"/>
        <v>44879373</v>
      </c>
      <c r="G11" s="537">
        <f t="shared" si="0"/>
        <v>195809703</v>
      </c>
    </row>
    <row r="12" spans="1:7" ht="52.5" customHeight="1" x14ac:dyDescent="0.2">
      <c r="A12" s="541" t="s">
        <v>82</v>
      </c>
      <c r="B12" s="542" t="s">
        <v>345</v>
      </c>
      <c r="C12" s="808">
        <f>C8+C11</f>
        <v>293580866</v>
      </c>
      <c r="D12" s="537">
        <f>D8+D11</f>
        <v>53307</v>
      </c>
      <c r="E12" s="808">
        <f>E8+E11</f>
        <v>87599</v>
      </c>
      <c r="F12" s="537">
        <f>F8+F11</f>
        <v>-62998</v>
      </c>
      <c r="G12" s="537">
        <f t="shared" si="0"/>
        <v>293658774</v>
      </c>
    </row>
    <row r="13" spans="1:7" ht="75" customHeight="1" x14ac:dyDescent="0.2">
      <c r="A13" s="534" t="s">
        <v>346</v>
      </c>
      <c r="B13" s="535" t="s">
        <v>347</v>
      </c>
      <c r="C13" s="536"/>
      <c r="D13" s="536"/>
      <c r="E13" s="536"/>
      <c r="F13" s="536"/>
      <c r="G13" s="537">
        <f t="shared" si="0"/>
        <v>0</v>
      </c>
    </row>
    <row r="14" spans="1:7" ht="51.75" customHeight="1" x14ac:dyDescent="0.2">
      <c r="A14" s="534" t="s">
        <v>348</v>
      </c>
      <c r="B14" s="535" t="s">
        <v>349</v>
      </c>
      <c r="C14" s="536"/>
      <c r="D14" s="536"/>
      <c r="E14" s="536"/>
      <c r="F14" s="536"/>
      <c r="G14" s="537">
        <f t="shared" si="0"/>
        <v>0</v>
      </c>
    </row>
    <row r="15" spans="1:7" ht="60" x14ac:dyDescent="0.25">
      <c r="A15" s="538" t="s">
        <v>350</v>
      </c>
      <c r="B15" s="539" t="s">
        <v>351</v>
      </c>
      <c r="C15" s="807"/>
      <c r="D15" s="540"/>
      <c r="E15" s="807"/>
      <c r="F15" s="540"/>
      <c r="G15" s="537">
        <f t="shared" si="0"/>
        <v>0</v>
      </c>
    </row>
    <row r="16" spans="1:7" ht="52.5" customHeight="1" x14ac:dyDescent="0.2">
      <c r="A16" s="534" t="s">
        <v>352</v>
      </c>
      <c r="B16" s="535" t="s">
        <v>353</v>
      </c>
      <c r="C16" s="536"/>
      <c r="D16" s="536"/>
      <c r="E16" s="536"/>
      <c r="F16" s="536"/>
      <c r="G16" s="537">
        <f t="shared" si="0"/>
        <v>0</v>
      </c>
    </row>
    <row r="17" spans="1:7" ht="57.75" customHeight="1" x14ac:dyDescent="0.2">
      <c r="A17" s="534" t="s">
        <v>354</v>
      </c>
      <c r="B17" s="535" t="s">
        <v>355</v>
      </c>
      <c r="C17" s="536"/>
      <c r="D17" s="536"/>
      <c r="E17" s="536"/>
      <c r="F17" s="536"/>
      <c r="G17" s="537">
        <f t="shared" si="0"/>
        <v>0</v>
      </c>
    </row>
    <row r="18" spans="1:7" ht="77.25" customHeight="1" x14ac:dyDescent="0.25">
      <c r="A18" s="538" t="s">
        <v>356</v>
      </c>
      <c r="B18" s="539" t="s">
        <v>357</v>
      </c>
      <c r="C18" s="807"/>
      <c r="D18" s="540"/>
      <c r="E18" s="807"/>
      <c r="F18" s="540"/>
      <c r="G18" s="537">
        <f t="shared" si="0"/>
        <v>0</v>
      </c>
    </row>
    <row r="19" spans="1:7" ht="66.75" customHeight="1" x14ac:dyDescent="0.2">
      <c r="A19" s="543" t="s">
        <v>83</v>
      </c>
      <c r="B19" s="544" t="s">
        <v>358</v>
      </c>
      <c r="C19" s="809">
        <f>C15+C18</f>
        <v>0</v>
      </c>
      <c r="D19" s="545">
        <f>D15+D18</f>
        <v>0</v>
      </c>
      <c r="E19" s="809">
        <f>E15+E18</f>
        <v>0</v>
      </c>
      <c r="F19" s="545">
        <f>F15+F18</f>
        <v>0</v>
      </c>
      <c r="G19" s="537">
        <f t="shared" si="0"/>
        <v>0</v>
      </c>
    </row>
    <row r="20" spans="1:7" ht="28.5" x14ac:dyDescent="0.2">
      <c r="A20" s="541" t="s">
        <v>359</v>
      </c>
      <c r="B20" s="542" t="s">
        <v>360</v>
      </c>
      <c r="C20" s="808">
        <f>C12+C19</f>
        <v>293580866</v>
      </c>
      <c r="D20" s="537">
        <f>D12+D19</f>
        <v>53307</v>
      </c>
      <c r="E20" s="808">
        <f>E12+E19</f>
        <v>87599</v>
      </c>
      <c r="F20" s="537">
        <f>F12+F19</f>
        <v>-62998</v>
      </c>
      <c r="G20" s="537">
        <f t="shared" si="0"/>
        <v>293658774</v>
      </c>
    </row>
    <row r="21" spans="1:7" ht="81.75" customHeight="1" x14ac:dyDescent="0.2">
      <c r="A21" s="546" t="s">
        <v>361</v>
      </c>
      <c r="B21" s="535" t="s">
        <v>362</v>
      </c>
      <c r="C21" s="536"/>
      <c r="D21" s="536"/>
      <c r="E21" s="536"/>
      <c r="F21" s="536"/>
      <c r="G21" s="537">
        <f t="shared" si="0"/>
        <v>0</v>
      </c>
    </row>
    <row r="22" spans="1:7" ht="42.75" customHeight="1" x14ac:dyDescent="0.2">
      <c r="A22" s="546" t="s">
        <v>363</v>
      </c>
      <c r="B22" s="535" t="s">
        <v>364</v>
      </c>
      <c r="C22" s="536">
        <f>C12-C21</f>
        <v>293580866</v>
      </c>
      <c r="D22" s="536">
        <f>D12-D21</f>
        <v>53307</v>
      </c>
      <c r="E22" s="536">
        <f>E12-E21</f>
        <v>87599</v>
      </c>
      <c r="F22" s="536">
        <f>F12-F21</f>
        <v>-62998</v>
      </c>
      <c r="G22" s="537">
        <f t="shared" si="0"/>
        <v>293658774</v>
      </c>
    </row>
    <row r="23" spans="1:7" ht="68.25" customHeight="1" x14ac:dyDescent="0.2">
      <c r="A23" s="546" t="s">
        <v>365</v>
      </c>
      <c r="B23" s="535" t="s">
        <v>366</v>
      </c>
      <c r="C23" s="536"/>
      <c r="D23" s="536"/>
      <c r="E23" s="536"/>
      <c r="F23" s="536"/>
      <c r="G23" s="537">
        <f t="shared" si="0"/>
        <v>0</v>
      </c>
    </row>
    <row r="24" spans="1:7" ht="71.25" customHeight="1" x14ac:dyDescent="0.2">
      <c r="A24" s="546" t="s">
        <v>367</v>
      </c>
      <c r="B24" s="535" t="s">
        <v>368</v>
      </c>
      <c r="C24" s="536">
        <f>C19-C23</f>
        <v>0</v>
      </c>
      <c r="D24" s="536">
        <f>D19-D23</f>
        <v>0</v>
      </c>
      <c r="E24" s="536">
        <f>E19-E23</f>
        <v>0</v>
      </c>
      <c r="F24" s="536">
        <f>F19-F23</f>
        <v>0</v>
      </c>
      <c r="G24" s="537">
        <f t="shared" si="0"/>
        <v>0</v>
      </c>
    </row>
    <row r="25" spans="1:7" x14ac:dyDescent="0.2">
      <c r="A25" s="466"/>
      <c r="B25" s="466"/>
      <c r="C25" s="466"/>
      <c r="D25" s="466"/>
      <c r="E25" s="466"/>
      <c r="F25" s="466"/>
      <c r="G25" s="466"/>
    </row>
    <row r="26" spans="1:7" x14ac:dyDescent="0.2">
      <c r="A26" s="466"/>
      <c r="B26" s="466"/>
      <c r="C26" s="466"/>
      <c r="D26" s="466"/>
      <c r="E26" s="466"/>
      <c r="F26" s="466"/>
      <c r="G26" s="466"/>
    </row>
  </sheetData>
  <mergeCells count="6">
    <mergeCell ref="G4:G5"/>
    <mergeCell ref="A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workbookViewId="0">
      <selection activeCell="B1" sqref="B1:B1048576"/>
    </sheetView>
  </sheetViews>
  <sheetFormatPr defaultRowHeight="12.75" x14ac:dyDescent="0.2"/>
  <cols>
    <col min="1" max="1" width="19.42578125" customWidth="1"/>
    <col min="2" max="2" width="14.7109375" style="709" customWidth="1"/>
    <col min="3" max="3" width="15.140625" style="709" customWidth="1"/>
    <col min="4" max="4" width="16.140625" style="709" customWidth="1"/>
    <col min="5" max="5" width="12.28515625" customWidth="1"/>
    <col min="6" max="6" width="16.5703125" customWidth="1"/>
  </cols>
  <sheetData>
    <row r="2" spans="1:6" x14ac:dyDescent="0.2">
      <c r="A2" s="2017"/>
      <c r="B2" s="2017"/>
      <c r="C2" s="2017"/>
      <c r="D2" s="2017"/>
      <c r="E2" s="2017"/>
      <c r="F2" s="2017"/>
    </row>
    <row r="3" spans="1:6" ht="53.25" customHeight="1" x14ac:dyDescent="0.2">
      <c r="A3" s="483"/>
      <c r="B3" s="484"/>
      <c r="C3" s="484"/>
      <c r="D3" s="484"/>
      <c r="E3" s="484"/>
      <c r="F3" s="485" t="s">
        <v>296</v>
      </c>
    </row>
    <row r="4" spans="1:6" ht="12.75" customHeight="1" x14ac:dyDescent="0.2">
      <c r="A4" s="2018" t="s">
        <v>447</v>
      </c>
      <c r="B4" s="2013" t="s">
        <v>208</v>
      </c>
      <c r="C4" s="2013" t="s">
        <v>207</v>
      </c>
      <c r="D4" s="2013" t="s">
        <v>188</v>
      </c>
      <c r="E4" s="2013" t="s">
        <v>189</v>
      </c>
      <c r="F4" s="2016" t="s">
        <v>16</v>
      </c>
    </row>
    <row r="5" spans="1:6" ht="12.75" customHeight="1" x14ac:dyDescent="0.2">
      <c r="A5" s="2018"/>
      <c r="B5" s="2014"/>
      <c r="C5" s="2014"/>
      <c r="D5" s="2014"/>
      <c r="E5" s="2014"/>
      <c r="F5" s="2016"/>
    </row>
    <row r="6" spans="1:6" ht="12.75" customHeight="1" x14ac:dyDescent="0.2">
      <c r="A6" s="2018"/>
      <c r="B6" s="2014"/>
      <c r="C6" s="2014"/>
      <c r="D6" s="2014"/>
      <c r="E6" s="2014"/>
      <c r="F6" s="2016"/>
    </row>
    <row r="7" spans="1:6" ht="12.75" customHeight="1" x14ac:dyDescent="0.2">
      <c r="A7" s="2018"/>
      <c r="B7" s="2015"/>
      <c r="C7" s="2015"/>
      <c r="D7" s="2015"/>
      <c r="E7" s="2015"/>
      <c r="F7" s="2016"/>
    </row>
    <row r="8" spans="1:6" ht="27.75" customHeight="1" x14ac:dyDescent="0.2">
      <c r="A8" s="486" t="s">
        <v>588</v>
      </c>
      <c r="B8" s="795"/>
      <c r="C8" s="553">
        <v>383413</v>
      </c>
      <c r="D8" s="717"/>
      <c r="E8" s="549"/>
      <c r="F8" s="550"/>
    </row>
    <row r="9" spans="1:6" ht="53.25" customHeight="1" x14ac:dyDescent="0.2">
      <c r="A9" s="489" t="s">
        <v>370</v>
      </c>
      <c r="B9" s="490">
        <v>2370199</v>
      </c>
      <c r="C9" s="490">
        <v>0</v>
      </c>
      <c r="D9" s="491"/>
      <c r="E9" s="491"/>
      <c r="F9" s="492">
        <f>SUM(B9:E9)</f>
        <v>2370199</v>
      </c>
    </row>
    <row r="10" spans="1:6" ht="51" customHeight="1" x14ac:dyDescent="0.2">
      <c r="A10" s="493" t="s">
        <v>371</v>
      </c>
      <c r="B10" s="494">
        <f>B9+B8</f>
        <v>2370199</v>
      </c>
      <c r="C10" s="494">
        <f t="shared" ref="C10:E10" si="0">C9+C8</f>
        <v>383413</v>
      </c>
      <c r="D10" s="494">
        <f t="shared" si="0"/>
        <v>0</v>
      </c>
      <c r="E10" s="494">
        <f t="shared" si="0"/>
        <v>0</v>
      </c>
      <c r="F10" s="492">
        <f t="shared" ref="F10:F80" si="1">SUM(B10:E10)</f>
        <v>2753612</v>
      </c>
    </row>
    <row r="11" spans="1:6" ht="59.25" customHeight="1" x14ac:dyDescent="0.2">
      <c r="A11" s="495" t="s">
        <v>372</v>
      </c>
      <c r="B11" s="496">
        <v>2572103382</v>
      </c>
      <c r="C11" s="497"/>
      <c r="D11" s="497"/>
      <c r="E11" s="497"/>
      <c r="F11" s="492">
        <f>SUM(B11:E11)</f>
        <v>2572103382</v>
      </c>
    </row>
    <row r="12" spans="1:6" ht="33.75" customHeight="1" x14ac:dyDescent="0.2">
      <c r="A12" s="498" t="s">
        <v>373</v>
      </c>
      <c r="B12" s="810">
        <v>33950781</v>
      </c>
      <c r="C12" s="497">
        <v>286064</v>
      </c>
      <c r="D12" s="497"/>
      <c r="E12" s="497"/>
      <c r="F12" s="492">
        <f>SUM(B12:E12)</f>
        <v>34236845</v>
      </c>
    </row>
    <row r="13" spans="1:6" ht="51" customHeight="1" x14ac:dyDescent="0.2">
      <c r="A13" s="498" t="s">
        <v>374</v>
      </c>
      <c r="B13" s="811">
        <v>9047292</v>
      </c>
      <c r="C13" s="499"/>
      <c r="D13" s="497"/>
      <c r="E13" s="497"/>
      <c r="F13" s="492">
        <f>SUM(B13:E13)</f>
        <v>9047292</v>
      </c>
    </row>
    <row r="14" spans="1:6" ht="55.5" customHeight="1" x14ac:dyDescent="0.2">
      <c r="A14" s="500" t="s">
        <v>375</v>
      </c>
      <c r="B14" s="494">
        <f>B11+B12+B13</f>
        <v>2615101455</v>
      </c>
      <c r="C14" s="501">
        <f>C11+C12+C13</f>
        <v>286064</v>
      </c>
      <c r="D14" s="501">
        <f>D11+D12+D13</f>
        <v>0</v>
      </c>
      <c r="E14" s="501">
        <f>E11+E12+E13</f>
        <v>0</v>
      </c>
      <c r="F14" s="492">
        <f t="shared" si="1"/>
        <v>2615387519</v>
      </c>
    </row>
    <row r="15" spans="1:6" ht="43.5" customHeight="1" x14ac:dyDescent="0.2">
      <c r="A15" s="502" t="s">
        <v>376</v>
      </c>
      <c r="B15" s="497">
        <v>2337000</v>
      </c>
      <c r="C15" s="497"/>
      <c r="D15" s="497"/>
      <c r="E15" s="497"/>
      <c r="F15" s="492">
        <f t="shared" si="1"/>
        <v>2337000</v>
      </c>
    </row>
    <row r="16" spans="1:6" ht="57" customHeight="1" x14ac:dyDescent="0.2">
      <c r="A16" s="502" t="s">
        <v>377</v>
      </c>
      <c r="B16" s="497">
        <v>2337000</v>
      </c>
      <c r="C16" s="497"/>
      <c r="D16" s="497"/>
      <c r="E16" s="497"/>
      <c r="F16" s="492">
        <f t="shared" si="1"/>
        <v>2337000</v>
      </c>
    </row>
    <row r="17" spans="1:6" ht="81" customHeight="1" x14ac:dyDescent="0.2">
      <c r="A17" s="503" t="s">
        <v>378</v>
      </c>
      <c r="B17" s="497">
        <f>B15</f>
        <v>2337000</v>
      </c>
      <c r="C17" s="497"/>
      <c r="D17" s="497"/>
      <c r="E17" s="497"/>
      <c r="F17" s="492">
        <f t="shared" si="1"/>
        <v>2337000</v>
      </c>
    </row>
    <row r="18" spans="1:6" ht="76.5" x14ac:dyDescent="0.2">
      <c r="A18" s="504" t="s">
        <v>379</v>
      </c>
      <c r="B18" s="505">
        <f>SUM(B10+B14+B17)</f>
        <v>2619808654</v>
      </c>
      <c r="C18" s="505">
        <f>SUM(C10+C14+C17)</f>
        <v>669477</v>
      </c>
      <c r="D18" s="505">
        <f>SUM(D10+D14+D17)</f>
        <v>0</v>
      </c>
      <c r="E18" s="505">
        <f>SUM(E10+E14+E17)</f>
        <v>0</v>
      </c>
      <c r="F18" s="506">
        <f t="shared" si="1"/>
        <v>2620478131</v>
      </c>
    </row>
    <row r="19" spans="1:6" ht="36.75" customHeight="1" x14ac:dyDescent="0.2">
      <c r="A19" s="498" t="s">
        <v>380</v>
      </c>
      <c r="B19" s="497">
        <v>0</v>
      </c>
      <c r="C19" s="497">
        <v>0</v>
      </c>
      <c r="D19" s="497">
        <v>907924</v>
      </c>
      <c r="E19" s="497"/>
      <c r="F19" s="492">
        <f t="shared" si="1"/>
        <v>907924</v>
      </c>
    </row>
    <row r="20" spans="1:6" ht="66" customHeight="1" x14ac:dyDescent="0.2">
      <c r="A20" s="507" t="s">
        <v>381</v>
      </c>
      <c r="B20" s="497">
        <f>B19</f>
        <v>0</v>
      </c>
      <c r="C20" s="497">
        <f t="shared" ref="C20:E21" si="2">C19</f>
        <v>0</v>
      </c>
      <c r="D20" s="497">
        <f t="shared" si="2"/>
        <v>907924</v>
      </c>
      <c r="E20" s="497">
        <f t="shared" si="2"/>
        <v>0</v>
      </c>
      <c r="F20" s="492">
        <f t="shared" si="1"/>
        <v>907924</v>
      </c>
    </row>
    <row r="21" spans="1:6" ht="31.5" customHeight="1" x14ac:dyDescent="0.2">
      <c r="A21" s="508" t="s">
        <v>382</v>
      </c>
      <c r="B21" s="509">
        <f>B20</f>
        <v>0</v>
      </c>
      <c r="C21" s="509">
        <f t="shared" si="2"/>
        <v>0</v>
      </c>
      <c r="D21" s="509">
        <f t="shared" si="2"/>
        <v>907924</v>
      </c>
      <c r="E21" s="509">
        <f t="shared" si="2"/>
        <v>0</v>
      </c>
      <c r="F21" s="506">
        <f t="shared" si="1"/>
        <v>907924</v>
      </c>
    </row>
    <row r="22" spans="1:6" ht="69" customHeight="1" x14ac:dyDescent="0.2">
      <c r="A22" s="502" t="s">
        <v>383</v>
      </c>
      <c r="B22" s="497">
        <v>107385</v>
      </c>
      <c r="C22" s="497">
        <v>32255</v>
      </c>
      <c r="D22" s="497">
        <v>14010</v>
      </c>
      <c r="E22" s="497">
        <v>31130</v>
      </c>
      <c r="F22" s="492">
        <f t="shared" si="1"/>
        <v>184780</v>
      </c>
    </row>
    <row r="23" spans="1:6" ht="37.5" customHeight="1" x14ac:dyDescent="0.2">
      <c r="A23" s="510" t="s">
        <v>384</v>
      </c>
      <c r="B23" s="497">
        <f>B22</f>
        <v>107385</v>
      </c>
      <c r="C23" s="497">
        <f>C22</f>
        <v>32255</v>
      </c>
      <c r="D23" s="497">
        <f>D22</f>
        <v>14010</v>
      </c>
      <c r="E23" s="497">
        <f>E22</f>
        <v>31130</v>
      </c>
      <c r="F23" s="492">
        <f t="shared" si="1"/>
        <v>184780</v>
      </c>
    </row>
    <row r="24" spans="1:6" ht="32.25" customHeight="1" x14ac:dyDescent="0.2">
      <c r="A24" s="489" t="s">
        <v>385</v>
      </c>
      <c r="B24" s="812">
        <v>54308752</v>
      </c>
      <c r="C24" s="511">
        <v>148748</v>
      </c>
      <c r="D24" s="497">
        <v>0</v>
      </c>
      <c r="E24" s="497">
        <v>8933</v>
      </c>
      <c r="F24" s="492">
        <f t="shared" si="1"/>
        <v>54466433</v>
      </c>
    </row>
    <row r="25" spans="1:6" ht="40.5" customHeight="1" x14ac:dyDescent="0.2">
      <c r="A25" s="512" t="s">
        <v>582</v>
      </c>
      <c r="B25" s="812">
        <v>148826757</v>
      </c>
      <c r="C25" s="511"/>
      <c r="D25" s="497"/>
      <c r="E25" s="497"/>
      <c r="F25" s="492"/>
    </row>
    <row r="26" spans="1:6" ht="72.75" customHeight="1" x14ac:dyDescent="0.2">
      <c r="A26" s="507" t="s">
        <v>386</v>
      </c>
      <c r="B26" s="497">
        <f>B24+B25</f>
        <v>203135509</v>
      </c>
      <c r="C26" s="511">
        <f>C24</f>
        <v>148748</v>
      </c>
      <c r="D26" s="497">
        <f>D24</f>
        <v>0</v>
      </c>
      <c r="E26" s="497">
        <f>E24</f>
        <v>8933</v>
      </c>
      <c r="F26" s="492">
        <f t="shared" si="1"/>
        <v>203293190</v>
      </c>
    </row>
    <row r="27" spans="1:6" ht="25.5" x14ac:dyDescent="0.2">
      <c r="A27" s="504" t="s">
        <v>387</v>
      </c>
      <c r="B27" s="505">
        <f>B26+B23</f>
        <v>203242894</v>
      </c>
      <c r="C27" s="513">
        <f>C26+C23</f>
        <v>181003</v>
      </c>
      <c r="D27" s="505">
        <f>D26+D23</f>
        <v>14010</v>
      </c>
      <c r="E27" s="505">
        <f>E26+E23</f>
        <v>40063</v>
      </c>
      <c r="F27" s="506">
        <f t="shared" si="1"/>
        <v>203477970</v>
      </c>
    </row>
    <row r="28" spans="1:6" ht="63.75" x14ac:dyDescent="0.2">
      <c r="A28" s="514" t="s">
        <v>388</v>
      </c>
      <c r="B28" s="515">
        <f>B29+B30+B31</f>
        <v>5809343</v>
      </c>
      <c r="C28" s="515">
        <f t="shared" ref="C28:E28" si="3">C29+C30+C31</f>
        <v>0</v>
      </c>
      <c r="D28" s="515">
        <f t="shared" si="3"/>
        <v>0</v>
      </c>
      <c r="E28" s="515">
        <f t="shared" si="3"/>
        <v>0</v>
      </c>
      <c r="F28" s="492">
        <f t="shared" si="1"/>
        <v>5809343</v>
      </c>
    </row>
    <row r="29" spans="1:6" ht="77.25" customHeight="1" x14ac:dyDescent="0.2">
      <c r="A29" s="516" t="s">
        <v>389</v>
      </c>
      <c r="B29" s="496">
        <v>284098</v>
      </c>
      <c r="C29" s="511">
        <f>SUM(C30:C34)</f>
        <v>0</v>
      </c>
      <c r="D29" s="497"/>
      <c r="E29" s="497"/>
      <c r="F29" s="492">
        <f t="shared" si="1"/>
        <v>284098</v>
      </c>
    </row>
    <row r="30" spans="1:6" ht="75.75" customHeight="1" x14ac:dyDescent="0.2">
      <c r="A30" s="512" t="s">
        <v>390</v>
      </c>
      <c r="B30" s="813">
        <v>5011793</v>
      </c>
      <c r="C30" s="511">
        <v>0</v>
      </c>
      <c r="D30" s="497"/>
      <c r="E30" s="497"/>
      <c r="F30" s="492">
        <f t="shared" si="1"/>
        <v>5011793</v>
      </c>
    </row>
    <row r="31" spans="1:6" ht="63.75" x14ac:dyDescent="0.2">
      <c r="A31" s="498" t="s">
        <v>391</v>
      </c>
      <c r="B31" s="496">
        <v>513452</v>
      </c>
      <c r="C31" s="511"/>
      <c r="D31" s="497"/>
      <c r="E31" s="497"/>
      <c r="F31" s="492">
        <f t="shared" si="1"/>
        <v>513452</v>
      </c>
    </row>
    <row r="32" spans="1:6" ht="63.75" customHeight="1" x14ac:dyDescent="0.2">
      <c r="A32" s="510" t="s">
        <v>392</v>
      </c>
      <c r="B32" s="515">
        <f>B33+B34+B35+B36+B37</f>
        <v>6171625</v>
      </c>
      <c r="C32" s="515">
        <f t="shared" ref="C32" si="4">C33+C34+C35+C36+C37</f>
        <v>0</v>
      </c>
      <c r="D32" s="515">
        <v>148428</v>
      </c>
      <c r="E32" s="515">
        <f>E33+E34+E35+E36+E37</f>
        <v>0</v>
      </c>
      <c r="F32" s="492">
        <f t="shared" si="1"/>
        <v>6320053</v>
      </c>
    </row>
    <row r="33" spans="1:6" ht="73.5" customHeight="1" x14ac:dyDescent="0.2">
      <c r="A33" s="502" t="s">
        <v>393</v>
      </c>
      <c r="B33" s="496">
        <v>5128382</v>
      </c>
      <c r="C33" s="511">
        <v>0</v>
      </c>
      <c r="D33" s="497">
        <v>13530</v>
      </c>
      <c r="E33" s="497"/>
      <c r="F33" s="492">
        <f t="shared" si="1"/>
        <v>5141912</v>
      </c>
    </row>
    <row r="34" spans="1:6" ht="78.75" customHeight="1" x14ac:dyDescent="0.2">
      <c r="A34" s="502" t="s">
        <v>394</v>
      </c>
      <c r="B34" s="813">
        <v>0</v>
      </c>
      <c r="C34" s="511"/>
      <c r="D34" s="497">
        <v>103344</v>
      </c>
      <c r="E34" s="497"/>
      <c r="F34" s="492">
        <f t="shared" si="1"/>
        <v>103344</v>
      </c>
    </row>
    <row r="35" spans="1:6" ht="69.75" customHeight="1" x14ac:dyDescent="0.2">
      <c r="A35" s="512" t="s">
        <v>395</v>
      </c>
      <c r="B35" s="812">
        <v>796202</v>
      </c>
      <c r="C35" s="517">
        <f>C37+C36</f>
        <v>0</v>
      </c>
      <c r="D35" s="490">
        <v>31554</v>
      </c>
      <c r="E35" s="490"/>
      <c r="F35" s="492">
        <f t="shared" si="1"/>
        <v>827756</v>
      </c>
    </row>
    <row r="36" spans="1:6" ht="62.25" customHeight="1" x14ac:dyDescent="0.2">
      <c r="A36" s="502" t="s">
        <v>396</v>
      </c>
      <c r="B36" s="812">
        <v>110000</v>
      </c>
      <c r="C36" s="517"/>
      <c r="D36" s="490"/>
      <c r="E36" s="490"/>
      <c r="F36" s="492">
        <f t="shared" si="1"/>
        <v>110000</v>
      </c>
    </row>
    <row r="37" spans="1:6" ht="108.75" customHeight="1" x14ac:dyDescent="0.2">
      <c r="A37" s="502" t="s">
        <v>397</v>
      </c>
      <c r="B37" s="496">
        <v>137041</v>
      </c>
      <c r="C37" s="517"/>
      <c r="D37" s="490"/>
      <c r="E37" s="490"/>
      <c r="F37" s="492">
        <f t="shared" si="1"/>
        <v>137041</v>
      </c>
    </row>
    <row r="38" spans="1:6" ht="78" customHeight="1" x14ac:dyDescent="0.2">
      <c r="A38" s="510" t="s">
        <v>583</v>
      </c>
      <c r="B38" s="515">
        <f>B39</f>
        <v>182371</v>
      </c>
      <c r="C38" s="515">
        <f t="shared" ref="C38:E38" si="5">C39</f>
        <v>0</v>
      </c>
      <c r="D38" s="515">
        <f t="shared" si="5"/>
        <v>0</v>
      </c>
      <c r="E38" s="515">
        <f t="shared" si="5"/>
        <v>0</v>
      </c>
      <c r="F38" s="492">
        <f t="shared" si="1"/>
        <v>182371</v>
      </c>
    </row>
    <row r="39" spans="1:6" ht="81.75" customHeight="1" x14ac:dyDescent="0.2">
      <c r="A39" s="502" t="s">
        <v>584</v>
      </c>
      <c r="B39" s="496">
        <v>182371</v>
      </c>
      <c r="C39" s="517"/>
      <c r="D39" s="490"/>
      <c r="E39" s="490"/>
      <c r="F39" s="492">
        <f t="shared" si="1"/>
        <v>182371</v>
      </c>
    </row>
    <row r="40" spans="1:6" ht="84.75" customHeight="1" x14ac:dyDescent="0.2">
      <c r="A40" s="510" t="s">
        <v>398</v>
      </c>
      <c r="B40" s="501">
        <f>B28+B32+B38</f>
        <v>12163339</v>
      </c>
      <c r="C40" s="501">
        <f t="shared" ref="C40:E40" si="6">C28+C32+C38</f>
        <v>0</v>
      </c>
      <c r="D40" s="501">
        <f>D28+D32+D38</f>
        <v>148428</v>
      </c>
      <c r="E40" s="501">
        <f t="shared" si="6"/>
        <v>0</v>
      </c>
      <c r="F40" s="492">
        <f t="shared" si="1"/>
        <v>12311767</v>
      </c>
    </row>
    <row r="41" spans="1:6" ht="78.75" customHeight="1" x14ac:dyDescent="0.2">
      <c r="A41" s="512" t="s">
        <v>399</v>
      </c>
      <c r="B41" s="813">
        <v>0</v>
      </c>
      <c r="C41" s="511"/>
      <c r="D41" s="497"/>
      <c r="E41" s="497"/>
      <c r="F41" s="492">
        <f t="shared" si="1"/>
        <v>0</v>
      </c>
    </row>
    <row r="42" spans="1:6" ht="156.75" customHeight="1" x14ac:dyDescent="0.2">
      <c r="A42" s="507" t="s">
        <v>400</v>
      </c>
      <c r="B42" s="515">
        <f>B43+B44</f>
        <v>7984803</v>
      </c>
      <c r="C42" s="494"/>
      <c r="D42" s="501">
        <v>0</v>
      </c>
      <c r="E42" s="501">
        <v>0</v>
      </c>
      <c r="F42" s="492">
        <f t="shared" si="1"/>
        <v>7984803</v>
      </c>
    </row>
    <row r="43" spans="1:6" ht="72.75" customHeight="1" x14ac:dyDescent="0.2">
      <c r="A43" s="502" t="s">
        <v>401</v>
      </c>
      <c r="B43" s="813">
        <v>0</v>
      </c>
      <c r="C43" s="511"/>
      <c r="D43" s="497">
        <v>0</v>
      </c>
      <c r="E43" s="497">
        <v>0</v>
      </c>
      <c r="F43" s="492">
        <f t="shared" si="1"/>
        <v>0</v>
      </c>
    </row>
    <row r="44" spans="1:6" ht="99.75" customHeight="1" x14ac:dyDescent="0.2">
      <c r="A44" s="502" t="s">
        <v>402</v>
      </c>
      <c r="B44" s="496">
        <v>7984803</v>
      </c>
      <c r="C44" s="511"/>
      <c r="D44" s="497"/>
      <c r="E44" s="497"/>
      <c r="F44" s="492">
        <f t="shared" si="1"/>
        <v>7984803</v>
      </c>
    </row>
    <row r="45" spans="1:6" ht="89.25" customHeight="1" x14ac:dyDescent="0.2">
      <c r="A45" s="512" t="s">
        <v>403</v>
      </c>
      <c r="B45" s="814">
        <f>B46+B47+B48</f>
        <v>0</v>
      </c>
      <c r="C45" s="511">
        <v>0</v>
      </c>
      <c r="D45" s="497">
        <v>0</v>
      </c>
      <c r="E45" s="497">
        <v>0</v>
      </c>
      <c r="F45" s="492">
        <f t="shared" si="1"/>
        <v>0</v>
      </c>
    </row>
    <row r="46" spans="1:6" ht="33.75" customHeight="1" x14ac:dyDescent="0.2">
      <c r="A46" s="502" t="s">
        <v>404</v>
      </c>
      <c r="B46" s="496">
        <v>0</v>
      </c>
      <c r="C46" s="494"/>
      <c r="D46" s="501">
        <v>0</v>
      </c>
      <c r="E46" s="501"/>
      <c r="F46" s="492">
        <f t="shared" si="1"/>
        <v>0</v>
      </c>
    </row>
    <row r="47" spans="1:6" ht="46.5" customHeight="1" x14ac:dyDescent="0.2">
      <c r="A47" s="502" t="s">
        <v>405</v>
      </c>
      <c r="B47" s="813">
        <v>0</v>
      </c>
      <c r="C47" s="511"/>
      <c r="D47" s="497">
        <v>0</v>
      </c>
      <c r="E47" s="497">
        <f>SUM(E49:E58)</f>
        <v>437884</v>
      </c>
      <c r="F47" s="492">
        <f t="shared" si="1"/>
        <v>437884</v>
      </c>
    </row>
    <row r="48" spans="1:6" ht="25.5" customHeight="1" x14ac:dyDescent="0.2">
      <c r="A48" s="512" t="s">
        <v>406</v>
      </c>
      <c r="B48" s="497">
        <v>0</v>
      </c>
      <c r="C48" s="511"/>
      <c r="D48" s="497"/>
      <c r="E48" s="497"/>
      <c r="F48" s="492">
        <f t="shared" si="1"/>
        <v>0</v>
      </c>
    </row>
    <row r="49" spans="1:6" ht="81" customHeight="1" x14ac:dyDescent="0.2">
      <c r="A49" s="507" t="s">
        <v>407</v>
      </c>
      <c r="B49" s="497">
        <f>B41+B42+B45</f>
        <v>7984803</v>
      </c>
      <c r="C49" s="511">
        <f>C41+C42+C45</f>
        <v>0</v>
      </c>
      <c r="D49" s="497">
        <f>D41+D42+D45</f>
        <v>0</v>
      </c>
      <c r="E49" s="497">
        <f>E41+E42+E45</f>
        <v>0</v>
      </c>
      <c r="F49" s="492">
        <f t="shared" si="1"/>
        <v>7984803</v>
      </c>
    </row>
    <row r="50" spans="1:6" ht="66" customHeight="1" x14ac:dyDescent="0.2">
      <c r="A50" s="502" t="s">
        <v>408</v>
      </c>
      <c r="B50" s="496">
        <f>B51+B53+B52</f>
        <v>40000</v>
      </c>
      <c r="C50" s="496">
        <f t="shared" ref="C50:E50" si="7">C51+C53+C52</f>
        <v>181245</v>
      </c>
      <c r="D50" s="496">
        <f t="shared" si="7"/>
        <v>0</v>
      </c>
      <c r="E50" s="496">
        <f t="shared" si="7"/>
        <v>109471</v>
      </c>
      <c r="F50" s="492">
        <f t="shared" si="1"/>
        <v>330716</v>
      </c>
    </row>
    <row r="51" spans="1:6" ht="42.75" customHeight="1" x14ac:dyDescent="0.2">
      <c r="A51" s="489" t="s">
        <v>585</v>
      </c>
      <c r="B51" s="496">
        <v>40000</v>
      </c>
      <c r="C51" s="511">
        <v>99105</v>
      </c>
      <c r="D51" s="497"/>
      <c r="E51" s="497">
        <v>98911</v>
      </c>
      <c r="F51" s="492"/>
    </row>
    <row r="52" spans="1:6" ht="63.75" customHeight="1" x14ac:dyDescent="0.2">
      <c r="A52" s="489" t="s">
        <v>586</v>
      </c>
      <c r="B52" s="496"/>
      <c r="C52" s="511">
        <v>82140</v>
      </c>
      <c r="D52" s="497"/>
      <c r="E52" s="497">
        <v>10560</v>
      </c>
      <c r="F52" s="492"/>
    </row>
    <row r="53" spans="1:6" ht="79.5" customHeight="1" x14ac:dyDescent="0.2">
      <c r="A53" s="512" t="s">
        <v>409</v>
      </c>
      <c r="B53" s="496">
        <v>0</v>
      </c>
      <c r="C53" s="511"/>
      <c r="D53" s="497"/>
      <c r="E53" s="497"/>
      <c r="F53" s="492">
        <f t="shared" si="1"/>
        <v>0</v>
      </c>
    </row>
    <row r="54" spans="1:6" ht="48.75" customHeight="1" x14ac:dyDescent="0.2">
      <c r="A54" s="498" t="s">
        <v>410</v>
      </c>
      <c r="B54" s="813">
        <v>90000</v>
      </c>
      <c r="C54" s="511"/>
      <c r="D54" s="497"/>
      <c r="E54" s="497"/>
      <c r="F54" s="492">
        <f t="shared" si="1"/>
        <v>90000</v>
      </c>
    </row>
    <row r="55" spans="1:6" ht="60.75" customHeight="1" x14ac:dyDescent="0.2">
      <c r="A55" s="498" t="s">
        <v>411</v>
      </c>
      <c r="B55" s="496">
        <v>3470</v>
      </c>
      <c r="C55" s="511"/>
      <c r="D55" s="497"/>
      <c r="E55" s="497"/>
      <c r="F55" s="492">
        <f t="shared" si="1"/>
        <v>3470</v>
      </c>
    </row>
    <row r="56" spans="1:6" ht="57.75" customHeight="1" x14ac:dyDescent="0.2">
      <c r="A56" s="507" t="s">
        <v>412</v>
      </c>
      <c r="B56" s="497">
        <f>B50+B54+B55</f>
        <v>133470</v>
      </c>
      <c r="C56" s="511">
        <f>C50+C54+C55</f>
        <v>181245</v>
      </c>
      <c r="D56" s="497">
        <f>D50+D54+D55</f>
        <v>0</v>
      </c>
      <c r="E56" s="497">
        <f>E50+E54+E55</f>
        <v>109471</v>
      </c>
      <c r="F56" s="492">
        <f t="shared" si="1"/>
        <v>424186</v>
      </c>
    </row>
    <row r="57" spans="1:6" ht="55.5" customHeight="1" x14ac:dyDescent="0.2">
      <c r="A57" s="508" t="s">
        <v>413</v>
      </c>
      <c r="B57" s="505">
        <f>B56+B49+B40</f>
        <v>20281612</v>
      </c>
      <c r="C57" s="505">
        <f t="shared" ref="C57:E57" si="8">C56+C49+C40</f>
        <v>181245</v>
      </c>
      <c r="D57" s="505">
        <f t="shared" si="8"/>
        <v>148428</v>
      </c>
      <c r="E57" s="505">
        <f t="shared" si="8"/>
        <v>109471</v>
      </c>
      <c r="F57" s="506">
        <f t="shared" si="1"/>
        <v>20720756</v>
      </c>
    </row>
    <row r="58" spans="1:6" ht="47.25" customHeight="1" x14ac:dyDescent="0.2">
      <c r="A58" s="502" t="s">
        <v>414</v>
      </c>
      <c r="B58" s="497">
        <v>139992</v>
      </c>
      <c r="C58" s="511"/>
      <c r="D58" s="497">
        <v>64784</v>
      </c>
      <c r="E58" s="497"/>
      <c r="F58" s="492">
        <f t="shared" si="1"/>
        <v>204776</v>
      </c>
    </row>
    <row r="59" spans="1:6" ht="45.75" customHeight="1" x14ac:dyDescent="0.2">
      <c r="A59" s="502" t="s">
        <v>587</v>
      </c>
      <c r="B59" s="497"/>
      <c r="C59" s="511"/>
      <c r="D59" s="497">
        <v>24520</v>
      </c>
      <c r="E59" s="497"/>
      <c r="F59" s="492"/>
    </row>
    <row r="60" spans="1:6" ht="47.25" customHeight="1" x14ac:dyDescent="0.2">
      <c r="A60" s="510" t="s">
        <v>415</v>
      </c>
      <c r="B60" s="497">
        <f>B58+B59</f>
        <v>139992</v>
      </c>
      <c r="C60" s="497">
        <f t="shared" ref="C60:E60" si="9">C58+C59</f>
        <v>0</v>
      </c>
      <c r="D60" s="497">
        <f t="shared" si="9"/>
        <v>89304</v>
      </c>
      <c r="E60" s="497">
        <f t="shared" si="9"/>
        <v>0</v>
      </c>
      <c r="F60" s="492">
        <f t="shared" si="1"/>
        <v>229296</v>
      </c>
    </row>
    <row r="61" spans="1:6" ht="39.75" customHeight="1" x14ac:dyDescent="0.2">
      <c r="A61" s="512" t="s">
        <v>416</v>
      </c>
      <c r="B61" s="497">
        <v>-475000</v>
      </c>
      <c r="C61" s="511">
        <v>-82227</v>
      </c>
      <c r="D61" s="497">
        <v>-752000</v>
      </c>
      <c r="E61" s="497"/>
      <c r="F61" s="492">
        <f t="shared" si="1"/>
        <v>-1309227</v>
      </c>
    </row>
    <row r="62" spans="1:6" ht="42" customHeight="1" x14ac:dyDescent="0.2">
      <c r="A62" s="510" t="s">
        <v>417</v>
      </c>
      <c r="B62" s="497">
        <f>B61</f>
        <v>-475000</v>
      </c>
      <c r="C62" s="511">
        <f>C61</f>
        <v>-82227</v>
      </c>
      <c r="D62" s="497">
        <f>D61</f>
        <v>-752000</v>
      </c>
      <c r="E62" s="497"/>
      <c r="F62" s="492">
        <f t="shared" si="1"/>
        <v>-1309227</v>
      </c>
    </row>
    <row r="63" spans="1:6" ht="36.75" customHeight="1" x14ac:dyDescent="0.2">
      <c r="A63" s="502" t="s">
        <v>418</v>
      </c>
      <c r="B63" s="497">
        <v>0</v>
      </c>
      <c r="C63" s="511">
        <v>0</v>
      </c>
      <c r="D63" s="497">
        <v>0</v>
      </c>
      <c r="E63" s="497">
        <v>0</v>
      </c>
      <c r="F63" s="492">
        <f t="shared" si="1"/>
        <v>0</v>
      </c>
    </row>
    <row r="64" spans="1:6" ht="62.25" customHeight="1" x14ac:dyDescent="0.2">
      <c r="A64" s="510" t="s">
        <v>419</v>
      </c>
      <c r="B64" s="497">
        <f>B63</f>
        <v>0</v>
      </c>
      <c r="C64" s="511">
        <f>C63</f>
        <v>0</v>
      </c>
      <c r="D64" s="497">
        <f>D63</f>
        <v>0</v>
      </c>
      <c r="E64" s="497"/>
      <c r="F64" s="492">
        <f t="shared" si="1"/>
        <v>0</v>
      </c>
    </row>
    <row r="65" spans="1:6" ht="86.25" customHeight="1" x14ac:dyDescent="0.2">
      <c r="A65" s="508" t="s">
        <v>420</v>
      </c>
      <c r="B65" s="509">
        <f>B60+B62+B64</f>
        <v>-335008</v>
      </c>
      <c r="C65" s="518">
        <f>C60+C62+C64</f>
        <v>-82227</v>
      </c>
      <c r="D65" s="509">
        <f>D60+D62+D64</f>
        <v>-662696</v>
      </c>
      <c r="E65" s="509">
        <f>E63</f>
        <v>0</v>
      </c>
      <c r="F65" s="506">
        <f t="shared" si="1"/>
        <v>-1079931</v>
      </c>
    </row>
    <row r="66" spans="1:6" ht="39.75" customHeight="1" x14ac:dyDescent="0.2">
      <c r="A66" s="502" t="s">
        <v>421</v>
      </c>
      <c r="B66" s="497"/>
      <c r="C66" s="511"/>
      <c r="D66" s="497">
        <v>0</v>
      </c>
      <c r="E66" s="497"/>
      <c r="F66" s="492">
        <f t="shared" si="1"/>
        <v>0</v>
      </c>
    </row>
    <row r="67" spans="1:6" ht="33.75" customHeight="1" x14ac:dyDescent="0.2">
      <c r="A67" s="519" t="s">
        <v>422</v>
      </c>
      <c r="B67" s="509">
        <f>B66</f>
        <v>0</v>
      </c>
      <c r="C67" s="518">
        <f>C66</f>
        <v>0</v>
      </c>
      <c r="D67" s="509">
        <f>D66</f>
        <v>0</v>
      </c>
      <c r="E67" s="509">
        <f>E66</f>
        <v>0</v>
      </c>
      <c r="F67" s="506">
        <f t="shared" si="1"/>
        <v>0</v>
      </c>
    </row>
    <row r="68" spans="1:6" ht="36.75" customHeight="1" x14ac:dyDescent="0.2">
      <c r="A68" s="520" t="s">
        <v>423</v>
      </c>
      <c r="B68" s="521">
        <f>B18+B21+B27+B57+B65+B67</f>
        <v>2842998152</v>
      </c>
      <c r="C68" s="521">
        <f t="shared" ref="C68:E68" si="10">C18+C21+C27+C57+C65+C67</f>
        <v>949498</v>
      </c>
      <c r="D68" s="521">
        <f t="shared" si="10"/>
        <v>407666</v>
      </c>
      <c r="E68" s="521">
        <f t="shared" si="10"/>
        <v>149534</v>
      </c>
      <c r="F68" s="522">
        <f t="shared" si="1"/>
        <v>2844504850</v>
      </c>
    </row>
    <row r="69" spans="1:6" ht="63.75" customHeight="1" x14ac:dyDescent="0.2">
      <c r="A69" s="502" t="s">
        <v>424</v>
      </c>
      <c r="B69" s="497">
        <v>2304248651</v>
      </c>
      <c r="C69" s="511">
        <f>'[2]12 A'!$C$23</f>
        <v>173101</v>
      </c>
      <c r="D69" s="497">
        <f>'[3]12 A'!$C$25</f>
        <v>14348196</v>
      </c>
      <c r="E69" s="497">
        <f>'[4]12 A'!$C$13</f>
        <v>3895</v>
      </c>
      <c r="F69" s="492">
        <f t="shared" si="1"/>
        <v>2318773843</v>
      </c>
    </row>
    <row r="70" spans="1:6" ht="61.5" customHeight="1" x14ac:dyDescent="0.2">
      <c r="A70" s="502" t="s">
        <v>425</v>
      </c>
      <c r="B70" s="497">
        <v>793881982</v>
      </c>
      <c r="C70" s="511"/>
      <c r="D70" s="497"/>
      <c r="E70" s="497"/>
      <c r="F70" s="492">
        <f t="shared" si="1"/>
        <v>793881982</v>
      </c>
    </row>
    <row r="71" spans="1:6" ht="54" customHeight="1" x14ac:dyDescent="0.2">
      <c r="A71" s="512" t="s">
        <v>426</v>
      </c>
      <c r="B71" s="497">
        <v>17253816</v>
      </c>
      <c r="C71" s="511">
        <f>'[2]12 A'!$C$24</f>
        <v>350202</v>
      </c>
      <c r="D71" s="497">
        <f>'[3]12 A'!$C$26</f>
        <v>271730</v>
      </c>
      <c r="E71" s="497">
        <f>'[4]12 A'!$C$14</f>
        <v>82388</v>
      </c>
      <c r="F71" s="492">
        <f t="shared" si="1"/>
        <v>17958136</v>
      </c>
    </row>
    <row r="72" spans="1:6" ht="57.75" customHeight="1" x14ac:dyDescent="0.2">
      <c r="A72" s="504" t="s">
        <v>427</v>
      </c>
      <c r="B72" s="509">
        <f>B71</f>
        <v>17253816</v>
      </c>
      <c r="C72" s="518">
        <f>C71</f>
        <v>350202</v>
      </c>
      <c r="D72" s="509">
        <f>D71</f>
        <v>271730</v>
      </c>
      <c r="E72" s="509">
        <f>E71</f>
        <v>82388</v>
      </c>
      <c r="F72" s="506">
        <f t="shared" si="1"/>
        <v>17958136</v>
      </c>
    </row>
    <row r="73" spans="1:6" ht="67.5" customHeight="1" x14ac:dyDescent="0.2">
      <c r="A73" s="498" t="s">
        <v>428</v>
      </c>
      <c r="B73" s="497">
        <v>-1022891280</v>
      </c>
      <c r="C73" s="511">
        <v>-2226814</v>
      </c>
      <c r="D73" s="497">
        <v>-16428637</v>
      </c>
      <c r="E73" s="497">
        <v>-3122566</v>
      </c>
      <c r="F73" s="492">
        <f t="shared" si="1"/>
        <v>-1044669297</v>
      </c>
    </row>
    <row r="74" spans="1:6" ht="102.75" customHeight="1" x14ac:dyDescent="0.2">
      <c r="A74" s="498" t="s">
        <v>429</v>
      </c>
      <c r="B74" s="497">
        <v>130470439</v>
      </c>
      <c r="C74" s="511">
        <v>-144367</v>
      </c>
      <c r="D74" s="497">
        <v>-1336868</v>
      </c>
      <c r="E74" s="497">
        <v>-130749</v>
      </c>
      <c r="F74" s="492">
        <f t="shared" si="1"/>
        <v>128858455</v>
      </c>
    </row>
    <row r="75" spans="1:6" ht="101.25" customHeight="1" x14ac:dyDescent="0.2">
      <c r="A75" s="504" t="s">
        <v>430</v>
      </c>
      <c r="B75" s="509">
        <f>B69+B70+B72+B73+B74</f>
        <v>2222963608</v>
      </c>
      <c r="C75" s="518">
        <f>C69+C72+C74+C73</f>
        <v>-1847878</v>
      </c>
      <c r="D75" s="509">
        <f>D69+D70+D72+D73+D74</f>
        <v>-3145579</v>
      </c>
      <c r="E75" s="509">
        <f>E69+E70+E72+E73+E74</f>
        <v>-3167032</v>
      </c>
      <c r="F75" s="506">
        <f t="shared" si="1"/>
        <v>2214803119</v>
      </c>
    </row>
    <row r="76" spans="1:6" ht="51" x14ac:dyDescent="0.2">
      <c r="A76" s="498" t="s">
        <v>448</v>
      </c>
      <c r="B76" s="497"/>
      <c r="C76" s="511"/>
      <c r="D76" s="497"/>
      <c r="E76" s="497"/>
      <c r="F76" s="492">
        <f t="shared" si="1"/>
        <v>0</v>
      </c>
    </row>
    <row r="77" spans="1:6" ht="89.25" customHeight="1" x14ac:dyDescent="0.2">
      <c r="A77" s="502" t="s">
        <v>431</v>
      </c>
      <c r="B77" s="497">
        <v>1616443</v>
      </c>
      <c r="C77" s="511">
        <v>269802</v>
      </c>
      <c r="D77" s="497">
        <v>1028327</v>
      </c>
      <c r="E77" s="497">
        <v>34019</v>
      </c>
      <c r="F77" s="492">
        <f t="shared" si="1"/>
        <v>2948591</v>
      </c>
    </row>
    <row r="78" spans="1:6" ht="51" x14ac:dyDescent="0.2">
      <c r="A78" s="502" t="s">
        <v>432</v>
      </c>
      <c r="B78" s="497">
        <v>4750765</v>
      </c>
      <c r="C78" s="511"/>
      <c r="D78" s="497"/>
      <c r="E78" s="497"/>
      <c r="F78" s="492">
        <f t="shared" si="1"/>
        <v>4750765</v>
      </c>
    </row>
    <row r="79" spans="1:6" ht="63.75" customHeight="1" x14ac:dyDescent="0.2">
      <c r="A79" s="503" t="s">
        <v>433</v>
      </c>
      <c r="B79" s="501">
        <f>B77+B78</f>
        <v>6367208</v>
      </c>
      <c r="C79" s="494">
        <f>C77+C76</f>
        <v>269802</v>
      </c>
      <c r="D79" s="494">
        <f>D77+D76</f>
        <v>1028327</v>
      </c>
      <c r="E79" s="501">
        <f>E77+E78</f>
        <v>34019</v>
      </c>
      <c r="F79" s="492">
        <f t="shared" si="1"/>
        <v>7699356</v>
      </c>
    </row>
    <row r="80" spans="1:6" ht="68.25" customHeight="1" x14ac:dyDescent="0.2">
      <c r="A80" s="498" t="s">
        <v>434</v>
      </c>
      <c r="B80" s="501">
        <v>0</v>
      </c>
      <c r="C80" s="494">
        <v>0</v>
      </c>
      <c r="D80" s="501">
        <v>512640</v>
      </c>
      <c r="E80" s="501">
        <f>SUM(E81)</f>
        <v>0</v>
      </c>
      <c r="F80" s="492">
        <f t="shared" si="1"/>
        <v>512640</v>
      </c>
    </row>
    <row r="81" spans="1:6" ht="44.25" customHeight="1" x14ac:dyDescent="0.2">
      <c r="A81" s="498" t="s">
        <v>435</v>
      </c>
      <c r="B81" s="497"/>
      <c r="C81" s="511">
        <v>0</v>
      </c>
      <c r="D81" s="497">
        <v>0</v>
      </c>
      <c r="E81" s="497">
        <v>0</v>
      </c>
      <c r="F81" s="492">
        <f t="shared" ref="F81:F92" si="11">SUM(B81:E81)</f>
        <v>0</v>
      </c>
    </row>
    <row r="82" spans="1:6" ht="41.25" customHeight="1" x14ac:dyDescent="0.2">
      <c r="A82" s="498" t="s">
        <v>436</v>
      </c>
      <c r="B82" s="501">
        <f>B83</f>
        <v>7444310</v>
      </c>
      <c r="C82" s="494">
        <f>SUM(C83:C85)</f>
        <v>0</v>
      </c>
      <c r="D82" s="501"/>
      <c r="E82" s="501">
        <f>SUM(E83:E85)</f>
        <v>0</v>
      </c>
      <c r="F82" s="492">
        <f t="shared" si="11"/>
        <v>7444310</v>
      </c>
    </row>
    <row r="83" spans="1:6" ht="40.5" customHeight="1" x14ac:dyDescent="0.2">
      <c r="A83" s="498" t="s">
        <v>437</v>
      </c>
      <c r="B83" s="497">
        <v>7444310</v>
      </c>
      <c r="C83" s="511"/>
      <c r="D83" s="497"/>
      <c r="E83" s="497"/>
      <c r="F83" s="492">
        <f t="shared" si="11"/>
        <v>7444310</v>
      </c>
    </row>
    <row r="84" spans="1:6" ht="54.75" customHeight="1" x14ac:dyDescent="0.2">
      <c r="A84" s="510" t="s">
        <v>438</v>
      </c>
      <c r="B84" s="497">
        <f>B80+B81+B82</f>
        <v>7444310</v>
      </c>
      <c r="C84" s="511">
        <v>0</v>
      </c>
      <c r="D84" s="497">
        <v>0</v>
      </c>
      <c r="E84" s="497"/>
      <c r="F84" s="492">
        <f t="shared" si="11"/>
        <v>7444310</v>
      </c>
    </row>
    <row r="85" spans="1:6" x14ac:dyDescent="0.2">
      <c r="A85" s="502" t="s">
        <v>439</v>
      </c>
      <c r="B85" s="497">
        <v>3849649</v>
      </c>
      <c r="C85" s="511"/>
      <c r="D85" s="497">
        <v>1970</v>
      </c>
      <c r="E85" s="497"/>
      <c r="F85" s="492">
        <f t="shared" si="11"/>
        <v>3851619</v>
      </c>
    </row>
    <row r="86" spans="1:6" ht="38.25" x14ac:dyDescent="0.2">
      <c r="A86" s="502" t="s">
        <v>440</v>
      </c>
      <c r="B86" s="523">
        <v>6471</v>
      </c>
      <c r="C86" s="524"/>
      <c r="D86" s="523">
        <v>0</v>
      </c>
      <c r="E86" s="523">
        <v>0</v>
      </c>
      <c r="F86" s="492">
        <f t="shared" si="11"/>
        <v>6471</v>
      </c>
    </row>
    <row r="87" spans="1:6" ht="51" x14ac:dyDescent="0.2">
      <c r="A87" s="507" t="s">
        <v>441</v>
      </c>
      <c r="B87" s="815">
        <f>B85+B86</f>
        <v>3856120</v>
      </c>
      <c r="C87" s="525">
        <f>C85+C86</f>
        <v>0</v>
      </c>
      <c r="D87" s="786">
        <f>D85+D86</f>
        <v>1970</v>
      </c>
      <c r="E87" s="501">
        <f>E85+E86</f>
        <v>0</v>
      </c>
      <c r="F87" s="492">
        <f t="shared" si="11"/>
        <v>3858090</v>
      </c>
    </row>
    <row r="88" spans="1:6" ht="38.25" x14ac:dyDescent="0.2">
      <c r="A88" s="504" t="s">
        <v>442</v>
      </c>
      <c r="B88" s="526">
        <f>B87+B84+B79</f>
        <v>17667638</v>
      </c>
      <c r="C88" s="526">
        <f t="shared" ref="C88:E88" si="12">C87+C84+C79</f>
        <v>269802</v>
      </c>
      <c r="D88" s="526">
        <f t="shared" si="12"/>
        <v>1030297</v>
      </c>
      <c r="E88" s="526">
        <f t="shared" si="12"/>
        <v>34019</v>
      </c>
      <c r="F88" s="492">
        <f t="shared" si="11"/>
        <v>19001756</v>
      </c>
    </row>
    <row r="89" spans="1:6" ht="38.25" x14ac:dyDescent="0.2">
      <c r="A89" s="502" t="s">
        <v>443</v>
      </c>
      <c r="B89" s="527">
        <v>5075599</v>
      </c>
      <c r="C89" s="528">
        <v>2527574</v>
      </c>
      <c r="D89" s="527">
        <v>2522948</v>
      </c>
      <c r="E89" s="527">
        <v>3282547</v>
      </c>
      <c r="F89" s="492">
        <f t="shared" si="11"/>
        <v>13408668</v>
      </c>
    </row>
    <row r="90" spans="1:6" ht="38.25" x14ac:dyDescent="0.2">
      <c r="A90" s="502" t="s">
        <v>444</v>
      </c>
      <c r="B90" s="527">
        <v>597291307</v>
      </c>
      <c r="C90" s="528">
        <v>0</v>
      </c>
      <c r="D90" s="527">
        <v>0</v>
      </c>
      <c r="E90" s="527"/>
      <c r="F90" s="492">
        <f t="shared" si="11"/>
        <v>597291307</v>
      </c>
    </row>
    <row r="91" spans="1:6" ht="38.25" x14ac:dyDescent="0.2">
      <c r="A91" s="508" t="s">
        <v>445</v>
      </c>
      <c r="B91" s="529">
        <f>B89+B90</f>
        <v>602366906</v>
      </c>
      <c r="C91" s="530">
        <f>C89+C90</f>
        <v>2527574</v>
      </c>
      <c r="D91" s="529">
        <f>D89+0</f>
        <v>2522948</v>
      </c>
      <c r="E91" s="529">
        <f>E89+E90</f>
        <v>3282547</v>
      </c>
      <c r="F91" s="506">
        <f t="shared" si="11"/>
        <v>610699975</v>
      </c>
    </row>
    <row r="92" spans="1:6" ht="38.25" x14ac:dyDescent="0.2">
      <c r="A92" s="531" t="s">
        <v>446</v>
      </c>
      <c r="B92" s="532">
        <f>B91+B88+B75</f>
        <v>2842998152</v>
      </c>
      <c r="C92" s="532">
        <f>C91+C88+C75</f>
        <v>949498</v>
      </c>
      <c r="D92" s="532">
        <f>D91+D88+D75</f>
        <v>407666</v>
      </c>
      <c r="E92" s="532">
        <f>E91+E88+E75</f>
        <v>149534</v>
      </c>
      <c r="F92" s="522">
        <f t="shared" si="11"/>
        <v>2844504850</v>
      </c>
    </row>
  </sheetData>
  <mergeCells count="7">
    <mergeCell ref="C4:C7"/>
    <mergeCell ref="D4:D7"/>
    <mergeCell ref="E4:E7"/>
    <mergeCell ref="F4:F7"/>
    <mergeCell ref="A2:F2"/>
    <mergeCell ref="A4:A7"/>
    <mergeCell ref="B4:B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76" workbookViewId="0">
      <selection activeCell="B2" sqref="B1:B1048576"/>
    </sheetView>
  </sheetViews>
  <sheetFormatPr defaultRowHeight="0" customHeight="1" zeroHeight="1" x14ac:dyDescent="0.2"/>
  <cols>
    <col min="1" max="1" width="22.28515625" style="91" customWidth="1"/>
    <col min="2" max="2" width="19.28515625" style="12" customWidth="1"/>
    <col min="3" max="3" width="15.85546875" style="12" customWidth="1"/>
    <col min="4" max="4" width="17.7109375" style="12" customWidth="1"/>
    <col min="5" max="5" width="14.28515625" style="91" customWidth="1"/>
    <col min="6" max="6" width="17.7109375" style="91" customWidth="1"/>
    <col min="9" max="9" width="13.42578125" customWidth="1"/>
  </cols>
  <sheetData>
    <row r="1" spans="1:6" ht="12.75" x14ac:dyDescent="0.2">
      <c r="A1" s="2019"/>
      <c r="B1" s="2019"/>
      <c r="C1" s="2019"/>
      <c r="D1" s="2019"/>
      <c r="E1" s="2019"/>
      <c r="F1" s="2019"/>
    </row>
    <row r="2" spans="1:6" ht="64.5" customHeight="1" x14ac:dyDescent="0.2">
      <c r="A2" s="272"/>
      <c r="B2" s="270"/>
      <c r="C2" s="270"/>
      <c r="D2" s="270"/>
      <c r="E2" s="270"/>
      <c r="F2" s="271" t="s">
        <v>296</v>
      </c>
    </row>
    <row r="3" spans="1:6" ht="12.75" x14ac:dyDescent="0.2">
      <c r="A3" s="2018" t="s">
        <v>447</v>
      </c>
      <c r="B3" s="2013" t="s">
        <v>208</v>
      </c>
      <c r="C3" s="2013" t="s">
        <v>207</v>
      </c>
      <c r="D3" s="2013" t="s">
        <v>188</v>
      </c>
      <c r="E3" s="2013" t="s">
        <v>189</v>
      </c>
      <c r="F3" s="2016" t="s">
        <v>16</v>
      </c>
    </row>
    <row r="4" spans="1:6" ht="12.75" x14ac:dyDescent="0.2">
      <c r="A4" s="2018"/>
      <c r="B4" s="2014"/>
      <c r="C4" s="2014"/>
      <c r="D4" s="2014"/>
      <c r="E4" s="2014"/>
      <c r="F4" s="2016"/>
    </row>
    <row r="5" spans="1:6" ht="12.75" x14ac:dyDescent="0.2">
      <c r="A5" s="2018"/>
      <c r="B5" s="2014"/>
      <c r="C5" s="2014"/>
      <c r="D5" s="2014"/>
      <c r="E5" s="2014"/>
      <c r="F5" s="2016"/>
    </row>
    <row r="6" spans="1:6" ht="12.75" x14ac:dyDescent="0.2">
      <c r="A6" s="2018"/>
      <c r="B6" s="2015"/>
      <c r="C6" s="2015"/>
      <c r="D6" s="2015"/>
      <c r="E6" s="2015"/>
      <c r="F6" s="2016"/>
    </row>
    <row r="7" spans="1:6" s="91" customFormat="1" ht="14.25" x14ac:dyDescent="0.2">
      <c r="A7" s="486" t="s">
        <v>588</v>
      </c>
      <c r="B7" s="795"/>
      <c r="C7" s="553">
        <v>322067</v>
      </c>
      <c r="D7" s="717"/>
      <c r="E7" s="487"/>
      <c r="F7" s="488"/>
    </row>
    <row r="8" spans="1:6" ht="24" customHeight="1" x14ac:dyDescent="0.2">
      <c r="A8" s="489" t="s">
        <v>370</v>
      </c>
      <c r="B8" s="490">
        <v>1467576</v>
      </c>
      <c r="C8" s="490">
        <v>0</v>
      </c>
      <c r="D8" s="491"/>
      <c r="E8" s="491"/>
      <c r="F8" s="492">
        <f>SUM(B8:E8)</f>
        <v>1467576</v>
      </c>
    </row>
    <row r="9" spans="1:6" ht="25.5" x14ac:dyDescent="0.2">
      <c r="A9" s="493" t="s">
        <v>371</v>
      </c>
      <c r="B9" s="494">
        <f>B8+B7</f>
        <v>1467576</v>
      </c>
      <c r="C9" s="494">
        <f t="shared" ref="C9:E9" si="0">C8+C7</f>
        <v>322067</v>
      </c>
      <c r="D9" s="494">
        <f t="shared" si="0"/>
        <v>0</v>
      </c>
      <c r="E9" s="494">
        <f t="shared" si="0"/>
        <v>0</v>
      </c>
      <c r="F9" s="492">
        <f t="shared" ref="F9:F79" si="1">SUM(B9:E9)</f>
        <v>1789643</v>
      </c>
    </row>
    <row r="10" spans="1:6" ht="38.25" x14ac:dyDescent="0.2">
      <c r="A10" s="495" t="s">
        <v>372</v>
      </c>
      <c r="B10" s="496">
        <v>2598785911</v>
      </c>
      <c r="C10" s="497"/>
      <c r="D10" s="497"/>
      <c r="E10" s="497"/>
      <c r="F10" s="492">
        <f>SUM(B10:E10)</f>
        <v>2598785911</v>
      </c>
    </row>
    <row r="11" spans="1:6" ht="38.25" x14ac:dyDescent="0.2">
      <c r="A11" s="498" t="s">
        <v>373</v>
      </c>
      <c r="B11" s="810">
        <v>25808279</v>
      </c>
      <c r="C11" s="497">
        <v>659319</v>
      </c>
      <c r="D11" s="497">
        <v>1142616</v>
      </c>
      <c r="E11" s="497"/>
      <c r="F11" s="492">
        <f>SUM(B11:E11)</f>
        <v>27610214</v>
      </c>
    </row>
    <row r="12" spans="1:6" ht="25.5" x14ac:dyDescent="0.2">
      <c r="A12" s="498" t="s">
        <v>374</v>
      </c>
      <c r="B12" s="811">
        <v>13056393</v>
      </c>
      <c r="C12" s="499"/>
      <c r="D12" s="497"/>
      <c r="E12" s="497"/>
      <c r="F12" s="492">
        <f>SUM(B12:E12)</f>
        <v>13056393</v>
      </c>
    </row>
    <row r="13" spans="1:6" ht="25.5" x14ac:dyDescent="0.2">
      <c r="A13" s="500" t="s">
        <v>375</v>
      </c>
      <c r="B13" s="494">
        <f>B10+B11+B12</f>
        <v>2637650583</v>
      </c>
      <c r="C13" s="501">
        <f>C10+C11+C12</f>
        <v>659319</v>
      </c>
      <c r="D13" s="501">
        <f>D10+D11+D12</f>
        <v>1142616</v>
      </c>
      <c r="E13" s="501">
        <f>E10+E11+E12</f>
        <v>0</v>
      </c>
      <c r="F13" s="492">
        <f t="shared" si="1"/>
        <v>2639452518</v>
      </c>
    </row>
    <row r="14" spans="1:6" ht="38.25" x14ac:dyDescent="0.2">
      <c r="A14" s="502" t="s">
        <v>376</v>
      </c>
      <c r="B14" s="497">
        <v>2160000</v>
      </c>
      <c r="C14" s="497"/>
      <c r="D14" s="497"/>
      <c r="E14" s="497"/>
      <c r="F14" s="492">
        <f t="shared" si="1"/>
        <v>2160000</v>
      </c>
    </row>
    <row r="15" spans="1:6" ht="25.5" x14ac:dyDescent="0.2">
      <c r="A15" s="502" t="s">
        <v>377</v>
      </c>
      <c r="B15" s="497">
        <v>2337000</v>
      </c>
      <c r="C15" s="497"/>
      <c r="D15" s="497"/>
      <c r="E15" s="497"/>
      <c r="F15" s="492">
        <f t="shared" si="1"/>
        <v>2337000</v>
      </c>
    </row>
    <row r="16" spans="1:6" ht="38.25" x14ac:dyDescent="0.2">
      <c r="A16" s="503" t="s">
        <v>378</v>
      </c>
      <c r="B16" s="497">
        <f>B14</f>
        <v>2160000</v>
      </c>
      <c r="C16" s="497"/>
      <c r="D16" s="497"/>
      <c r="E16" s="497"/>
      <c r="F16" s="492">
        <f t="shared" si="1"/>
        <v>2160000</v>
      </c>
    </row>
    <row r="17" spans="1:6" ht="63.75" x14ac:dyDescent="0.2">
      <c r="A17" s="504" t="s">
        <v>379</v>
      </c>
      <c r="B17" s="505">
        <f>SUM(B9+B13+B16)</f>
        <v>2641278159</v>
      </c>
      <c r="C17" s="505">
        <f>SUM(C9+C13+C16)</f>
        <v>981386</v>
      </c>
      <c r="D17" s="505">
        <f>SUM(D9+D13+D16)</f>
        <v>1142616</v>
      </c>
      <c r="E17" s="505">
        <f>SUM(E9+E13+E16)</f>
        <v>0</v>
      </c>
      <c r="F17" s="506">
        <f t="shared" si="1"/>
        <v>2643402161</v>
      </c>
    </row>
    <row r="18" spans="1:6" ht="12.75" x14ac:dyDescent="0.2">
      <c r="A18" s="498" t="s">
        <v>380</v>
      </c>
      <c r="B18" s="497">
        <v>0</v>
      </c>
      <c r="C18" s="497">
        <v>0</v>
      </c>
      <c r="D18" s="497">
        <v>1957595</v>
      </c>
      <c r="E18" s="497"/>
      <c r="F18" s="492">
        <f t="shared" si="1"/>
        <v>1957595</v>
      </c>
    </row>
    <row r="19" spans="1:6" ht="25.5" x14ac:dyDescent="0.2">
      <c r="A19" s="507" t="s">
        <v>381</v>
      </c>
      <c r="B19" s="497">
        <f>B18</f>
        <v>0</v>
      </c>
      <c r="C19" s="497">
        <f t="shared" ref="C19:E20" si="2">C18</f>
        <v>0</v>
      </c>
      <c r="D19" s="497">
        <f t="shared" si="2"/>
        <v>1957595</v>
      </c>
      <c r="E19" s="497">
        <f t="shared" si="2"/>
        <v>0</v>
      </c>
      <c r="F19" s="492">
        <f t="shared" si="1"/>
        <v>1957595</v>
      </c>
    </row>
    <row r="20" spans="1:6" ht="51" x14ac:dyDescent="0.2">
      <c r="A20" s="508" t="s">
        <v>382</v>
      </c>
      <c r="B20" s="509">
        <f>B19</f>
        <v>0</v>
      </c>
      <c r="C20" s="509">
        <f t="shared" si="2"/>
        <v>0</v>
      </c>
      <c r="D20" s="509">
        <f t="shared" si="2"/>
        <v>1957595</v>
      </c>
      <c r="E20" s="509">
        <f t="shared" si="2"/>
        <v>0</v>
      </c>
      <c r="F20" s="506">
        <f t="shared" si="1"/>
        <v>1957595</v>
      </c>
    </row>
    <row r="21" spans="1:6" ht="12.75" x14ac:dyDescent="0.2">
      <c r="A21" s="502" t="s">
        <v>383</v>
      </c>
      <c r="B21" s="497">
        <v>194355</v>
      </c>
      <c r="C21" s="497">
        <v>121860</v>
      </c>
      <c r="D21" s="497">
        <v>95775</v>
      </c>
      <c r="E21" s="497">
        <v>39655</v>
      </c>
      <c r="F21" s="492">
        <f t="shared" si="1"/>
        <v>451645</v>
      </c>
    </row>
    <row r="22" spans="1:6" ht="38.25" x14ac:dyDescent="0.2">
      <c r="A22" s="510" t="s">
        <v>384</v>
      </c>
      <c r="B22" s="497">
        <f>B21</f>
        <v>194355</v>
      </c>
      <c r="C22" s="497">
        <f>C21</f>
        <v>121860</v>
      </c>
      <c r="D22" s="497">
        <f>D21</f>
        <v>95775</v>
      </c>
      <c r="E22" s="497">
        <f>E21</f>
        <v>39655</v>
      </c>
      <c r="F22" s="492">
        <f t="shared" si="1"/>
        <v>451645</v>
      </c>
    </row>
    <row r="23" spans="1:6" ht="25.5" x14ac:dyDescent="0.2">
      <c r="A23" s="489" t="s">
        <v>385</v>
      </c>
      <c r="B23" s="812">
        <v>43663270</v>
      </c>
      <c r="C23" s="511">
        <v>106322</v>
      </c>
      <c r="D23" s="497">
        <v>3126</v>
      </c>
      <c r="E23" s="497">
        <v>32425</v>
      </c>
      <c r="F23" s="492">
        <f t="shared" si="1"/>
        <v>43805143</v>
      </c>
    </row>
    <row r="24" spans="1:6" s="91" customFormat="1" ht="25.5" x14ac:dyDescent="0.2">
      <c r="A24" s="512" t="s">
        <v>582</v>
      </c>
      <c r="B24" s="812">
        <v>256998604</v>
      </c>
      <c r="C24" s="511"/>
      <c r="D24" s="497"/>
      <c r="E24" s="497"/>
      <c r="F24" s="492"/>
    </row>
    <row r="25" spans="1:6" ht="25.5" x14ac:dyDescent="0.2">
      <c r="A25" s="507" t="s">
        <v>386</v>
      </c>
      <c r="B25" s="497">
        <f>B23+B24</f>
        <v>300661874</v>
      </c>
      <c r="C25" s="511">
        <f>C23</f>
        <v>106322</v>
      </c>
      <c r="D25" s="497">
        <f>D23</f>
        <v>3126</v>
      </c>
      <c r="E25" s="497">
        <f>E23</f>
        <v>32425</v>
      </c>
      <c r="F25" s="492">
        <f t="shared" si="1"/>
        <v>300803747</v>
      </c>
    </row>
    <row r="26" spans="1:6" ht="25.5" x14ac:dyDescent="0.2">
      <c r="A26" s="504" t="s">
        <v>387</v>
      </c>
      <c r="B26" s="505">
        <f>B25+B22</f>
        <v>300856229</v>
      </c>
      <c r="C26" s="513">
        <f>C25+C22</f>
        <v>228182</v>
      </c>
      <c r="D26" s="505">
        <f>D25+D22</f>
        <v>98901</v>
      </c>
      <c r="E26" s="505">
        <f>E25+E22</f>
        <v>72080</v>
      </c>
      <c r="F26" s="506">
        <f t="shared" si="1"/>
        <v>301255392</v>
      </c>
    </row>
    <row r="27" spans="1:6" ht="51" x14ac:dyDescent="0.2">
      <c r="A27" s="514" t="s">
        <v>388</v>
      </c>
      <c r="B27" s="515">
        <v>5635631</v>
      </c>
      <c r="C27" s="515">
        <f t="shared" ref="C27:E27" si="3">C28+C29+C30</f>
        <v>0</v>
      </c>
      <c r="D27" s="515">
        <f t="shared" si="3"/>
        <v>0</v>
      </c>
      <c r="E27" s="515">
        <f t="shared" si="3"/>
        <v>0</v>
      </c>
      <c r="F27" s="492">
        <f t="shared" si="1"/>
        <v>5635631</v>
      </c>
    </row>
    <row r="28" spans="1:6" ht="51" x14ac:dyDescent="0.2">
      <c r="A28" s="516" t="s">
        <v>389</v>
      </c>
      <c r="B28" s="496">
        <v>1157432</v>
      </c>
      <c r="C28" s="511">
        <f>SUM(C29:C33)</f>
        <v>0</v>
      </c>
      <c r="D28" s="497"/>
      <c r="E28" s="497"/>
      <c r="F28" s="492">
        <f t="shared" si="1"/>
        <v>1157432</v>
      </c>
    </row>
    <row r="29" spans="1:6" ht="63.75" x14ac:dyDescent="0.2">
      <c r="A29" s="512" t="s">
        <v>390</v>
      </c>
      <c r="B29" s="813">
        <v>4277187</v>
      </c>
      <c r="C29" s="511">
        <v>0</v>
      </c>
      <c r="D29" s="497"/>
      <c r="E29" s="497"/>
      <c r="F29" s="492">
        <f t="shared" si="1"/>
        <v>4277187</v>
      </c>
    </row>
    <row r="30" spans="1:6" ht="63.75" x14ac:dyDescent="0.2">
      <c r="A30" s="498" t="s">
        <v>391</v>
      </c>
      <c r="B30" s="496">
        <v>201012</v>
      </c>
      <c r="C30" s="511"/>
      <c r="D30" s="497"/>
      <c r="E30" s="497"/>
      <c r="F30" s="492">
        <f t="shared" si="1"/>
        <v>201012</v>
      </c>
    </row>
    <row r="31" spans="1:6" ht="51" x14ac:dyDescent="0.2">
      <c r="A31" s="510" t="s">
        <v>392</v>
      </c>
      <c r="B31" s="515">
        <f>B32+B33+B34+B35+B36</f>
        <v>6741313</v>
      </c>
      <c r="C31" s="515">
        <f t="shared" ref="C31" si="4">C32+C33+C34+C35+C36</f>
        <v>0</v>
      </c>
      <c r="D31" s="515">
        <v>533504</v>
      </c>
      <c r="E31" s="515">
        <f>E32+E33+E34+E35+E36</f>
        <v>0</v>
      </c>
      <c r="F31" s="492">
        <f t="shared" si="1"/>
        <v>7274817</v>
      </c>
    </row>
    <row r="32" spans="1:6" ht="102" x14ac:dyDescent="0.2">
      <c r="A32" s="502" t="s">
        <v>393</v>
      </c>
      <c r="B32" s="496">
        <v>5643725</v>
      </c>
      <c r="C32" s="511">
        <v>0</v>
      </c>
      <c r="D32" s="497">
        <v>150071</v>
      </c>
      <c r="E32" s="497"/>
      <c r="F32" s="492">
        <f t="shared" si="1"/>
        <v>5793796</v>
      </c>
    </row>
    <row r="33" spans="1:6" ht="51" x14ac:dyDescent="0.2">
      <c r="A33" s="502" t="s">
        <v>394</v>
      </c>
      <c r="B33" s="813">
        <v>0</v>
      </c>
      <c r="C33" s="511"/>
      <c r="D33" s="497">
        <v>270019</v>
      </c>
      <c r="E33" s="497"/>
      <c r="F33" s="492">
        <f t="shared" si="1"/>
        <v>270019</v>
      </c>
    </row>
    <row r="34" spans="1:6" ht="63.75" x14ac:dyDescent="0.2">
      <c r="A34" s="512" t="s">
        <v>395</v>
      </c>
      <c r="B34" s="812">
        <v>1097588</v>
      </c>
      <c r="C34" s="517">
        <f>C36+C35</f>
        <v>0</v>
      </c>
      <c r="D34" s="490">
        <v>113414</v>
      </c>
      <c r="E34" s="490"/>
      <c r="F34" s="492">
        <f t="shared" si="1"/>
        <v>1211002</v>
      </c>
    </row>
    <row r="35" spans="1:6" ht="63.75" x14ac:dyDescent="0.2">
      <c r="A35" s="502" t="s">
        <v>396</v>
      </c>
      <c r="B35" s="812">
        <v>0</v>
      </c>
      <c r="C35" s="517"/>
      <c r="D35" s="490"/>
      <c r="E35" s="490"/>
      <c r="F35" s="492">
        <f t="shared" si="1"/>
        <v>0</v>
      </c>
    </row>
    <row r="36" spans="1:6" ht="63.75" x14ac:dyDescent="0.2">
      <c r="A36" s="502" t="s">
        <v>397</v>
      </c>
      <c r="B36" s="496">
        <v>0</v>
      </c>
      <c r="C36" s="517"/>
      <c r="D36" s="490"/>
      <c r="E36" s="490"/>
      <c r="F36" s="492">
        <f t="shared" si="1"/>
        <v>0</v>
      </c>
    </row>
    <row r="37" spans="1:6" s="91" customFormat="1" ht="54" customHeight="1" x14ac:dyDescent="0.2">
      <c r="A37" s="510" t="s">
        <v>583</v>
      </c>
      <c r="B37" s="515">
        <f>B38</f>
        <v>0</v>
      </c>
      <c r="C37" s="515">
        <f t="shared" ref="C37:E37" si="5">C38</f>
        <v>0</v>
      </c>
      <c r="D37" s="515">
        <f t="shared" si="5"/>
        <v>0</v>
      </c>
      <c r="E37" s="515">
        <f t="shared" si="5"/>
        <v>0</v>
      </c>
      <c r="F37" s="492">
        <f t="shared" si="1"/>
        <v>0</v>
      </c>
    </row>
    <row r="38" spans="1:6" s="91" customFormat="1" ht="51" x14ac:dyDescent="0.2">
      <c r="A38" s="502" t="s">
        <v>584</v>
      </c>
      <c r="B38" s="496">
        <v>0</v>
      </c>
      <c r="C38" s="517"/>
      <c r="D38" s="490"/>
      <c r="E38" s="490"/>
      <c r="F38" s="492">
        <f t="shared" si="1"/>
        <v>0</v>
      </c>
    </row>
    <row r="39" spans="1:6" ht="38.25" x14ac:dyDescent="0.2">
      <c r="A39" s="510" t="s">
        <v>398</v>
      </c>
      <c r="B39" s="501">
        <f>B27+B31+B37</f>
        <v>12376944</v>
      </c>
      <c r="C39" s="501">
        <f t="shared" ref="C39:E39" si="6">C27+C31+C37</f>
        <v>0</v>
      </c>
      <c r="D39" s="501">
        <f>D27+D31+D37</f>
        <v>533504</v>
      </c>
      <c r="E39" s="501">
        <f t="shared" si="6"/>
        <v>0</v>
      </c>
      <c r="F39" s="492">
        <f t="shared" si="1"/>
        <v>12910448</v>
      </c>
    </row>
    <row r="40" spans="1:6" ht="76.5" x14ac:dyDescent="0.2">
      <c r="A40" s="512" t="s">
        <v>399</v>
      </c>
      <c r="B40" s="813">
        <v>0</v>
      </c>
      <c r="C40" s="511"/>
      <c r="D40" s="497"/>
      <c r="E40" s="497"/>
      <c r="F40" s="492">
        <f t="shared" si="1"/>
        <v>0</v>
      </c>
    </row>
    <row r="41" spans="1:6" ht="63.75" x14ac:dyDescent="0.2">
      <c r="A41" s="507" t="s">
        <v>400</v>
      </c>
      <c r="B41" s="515">
        <f>B42+B43</f>
        <v>9447355</v>
      </c>
      <c r="C41" s="494"/>
      <c r="D41" s="501">
        <v>0</v>
      </c>
      <c r="E41" s="501">
        <v>0</v>
      </c>
      <c r="F41" s="492">
        <f t="shared" si="1"/>
        <v>9447355</v>
      </c>
    </row>
    <row r="42" spans="1:6" ht="63.75" x14ac:dyDescent="0.2">
      <c r="A42" s="502" t="s">
        <v>401</v>
      </c>
      <c r="B42" s="813">
        <v>6000</v>
      </c>
      <c r="C42" s="511"/>
      <c r="D42" s="497">
        <v>0</v>
      </c>
      <c r="E42" s="497">
        <v>0</v>
      </c>
      <c r="F42" s="492">
        <f t="shared" si="1"/>
        <v>6000</v>
      </c>
    </row>
    <row r="43" spans="1:6" ht="63.75" x14ac:dyDescent="0.2">
      <c r="A43" s="502" t="s">
        <v>402</v>
      </c>
      <c r="B43" s="496">
        <v>9441355</v>
      </c>
      <c r="C43" s="511"/>
      <c r="D43" s="497"/>
      <c r="E43" s="497"/>
      <c r="F43" s="492">
        <f t="shared" si="1"/>
        <v>9441355</v>
      </c>
    </row>
    <row r="44" spans="1:6" ht="63.75" x14ac:dyDescent="0.2">
      <c r="A44" s="512" t="s">
        <v>403</v>
      </c>
      <c r="B44" s="814">
        <f>B45+B46+B47</f>
        <v>0</v>
      </c>
      <c r="C44" s="511">
        <v>0</v>
      </c>
      <c r="D44" s="497">
        <v>0</v>
      </c>
      <c r="E44" s="497">
        <v>0</v>
      </c>
      <c r="F44" s="492">
        <f t="shared" si="1"/>
        <v>0</v>
      </c>
    </row>
    <row r="45" spans="1:6" ht="114.75" x14ac:dyDescent="0.2">
      <c r="A45" s="502" t="s">
        <v>404</v>
      </c>
      <c r="B45" s="496">
        <v>0</v>
      </c>
      <c r="C45" s="494"/>
      <c r="D45" s="501">
        <v>0</v>
      </c>
      <c r="E45" s="501"/>
      <c r="F45" s="492">
        <f t="shared" si="1"/>
        <v>0</v>
      </c>
    </row>
    <row r="46" spans="1:6" ht="51" x14ac:dyDescent="0.2">
      <c r="A46" s="502" t="s">
        <v>405</v>
      </c>
      <c r="B46" s="813">
        <v>0</v>
      </c>
      <c r="C46" s="511"/>
      <c r="D46" s="497">
        <v>0</v>
      </c>
      <c r="E46" s="497">
        <v>0</v>
      </c>
      <c r="F46" s="492">
        <f t="shared" si="1"/>
        <v>0</v>
      </c>
    </row>
    <row r="47" spans="1:6" ht="63.75" x14ac:dyDescent="0.2">
      <c r="A47" s="512" t="s">
        <v>406</v>
      </c>
      <c r="B47" s="497">
        <v>0</v>
      </c>
      <c r="C47" s="511"/>
      <c r="D47" s="497"/>
      <c r="E47" s="497"/>
      <c r="F47" s="492">
        <f t="shared" si="1"/>
        <v>0</v>
      </c>
    </row>
    <row r="48" spans="1:6" ht="51" x14ac:dyDescent="0.2">
      <c r="A48" s="507" t="s">
        <v>407</v>
      </c>
      <c r="B48" s="497">
        <f>B40+B41+B44</f>
        <v>9447355</v>
      </c>
      <c r="C48" s="511">
        <f>C40+C41+C44</f>
        <v>0</v>
      </c>
      <c r="D48" s="497">
        <f>D40+D41+D44</f>
        <v>0</v>
      </c>
      <c r="E48" s="497">
        <f>E40+E41+E44</f>
        <v>0</v>
      </c>
      <c r="F48" s="492">
        <f t="shared" si="1"/>
        <v>9447355</v>
      </c>
    </row>
    <row r="49" spans="1:6" ht="25.5" x14ac:dyDescent="0.2">
      <c r="A49" s="502" t="s">
        <v>408</v>
      </c>
      <c r="B49" s="496">
        <v>22692</v>
      </c>
      <c r="C49" s="496">
        <v>0</v>
      </c>
      <c r="D49" s="496">
        <f t="shared" ref="D49" si="7">D50+D52+D51</f>
        <v>0</v>
      </c>
      <c r="E49" s="496">
        <v>0</v>
      </c>
      <c r="F49" s="492">
        <f t="shared" si="1"/>
        <v>22692</v>
      </c>
    </row>
    <row r="50" spans="1:6" s="91" customFormat="1" ht="38.25" x14ac:dyDescent="0.2">
      <c r="A50" s="489" t="s">
        <v>585</v>
      </c>
      <c r="B50" s="496">
        <v>0</v>
      </c>
      <c r="C50" s="511">
        <v>99105</v>
      </c>
      <c r="D50" s="497"/>
      <c r="E50" s="497">
        <v>0</v>
      </c>
      <c r="F50" s="492"/>
    </row>
    <row r="51" spans="1:6" s="91" customFormat="1" ht="38.25" x14ac:dyDescent="0.2">
      <c r="A51" s="489" t="s">
        <v>586</v>
      </c>
      <c r="B51" s="496"/>
      <c r="C51" s="511">
        <v>82140</v>
      </c>
      <c r="D51" s="497"/>
      <c r="E51" s="497">
        <v>0</v>
      </c>
      <c r="F51" s="492"/>
    </row>
    <row r="52" spans="1:6" ht="38.25" x14ac:dyDescent="0.2">
      <c r="A52" s="512" t="s">
        <v>409</v>
      </c>
      <c r="B52" s="496">
        <v>22692</v>
      </c>
      <c r="C52" s="511"/>
      <c r="D52" s="497"/>
      <c r="E52" s="497"/>
      <c r="F52" s="492">
        <f t="shared" si="1"/>
        <v>22692</v>
      </c>
    </row>
    <row r="53" spans="1:6" ht="25.5" x14ac:dyDescent="0.2">
      <c r="A53" s="498" t="s">
        <v>410</v>
      </c>
      <c r="B53" s="813">
        <v>70000</v>
      </c>
      <c r="C53" s="511"/>
      <c r="D53" s="497"/>
      <c r="E53" s="497"/>
      <c r="F53" s="492">
        <f t="shared" si="1"/>
        <v>70000</v>
      </c>
    </row>
    <row r="54" spans="1:6" ht="63.75" x14ac:dyDescent="0.2">
      <c r="A54" s="498" t="s">
        <v>411</v>
      </c>
      <c r="B54" s="496">
        <v>0</v>
      </c>
      <c r="C54" s="511"/>
      <c r="D54" s="497"/>
      <c r="E54" s="497"/>
      <c r="F54" s="492">
        <f t="shared" si="1"/>
        <v>0</v>
      </c>
    </row>
    <row r="55" spans="1:6" ht="38.25" x14ac:dyDescent="0.2">
      <c r="A55" s="507" t="s">
        <v>412</v>
      </c>
      <c r="B55" s="497">
        <f>B49+B53+B54</f>
        <v>92692</v>
      </c>
      <c r="C55" s="511">
        <f>C49+C53+C54</f>
        <v>0</v>
      </c>
      <c r="D55" s="497">
        <f>D49+D53+D54</f>
        <v>0</v>
      </c>
      <c r="E55" s="497">
        <f>E49+E53+E54</f>
        <v>0</v>
      </c>
      <c r="F55" s="492">
        <f t="shared" si="1"/>
        <v>92692</v>
      </c>
    </row>
    <row r="56" spans="1:6" ht="25.5" x14ac:dyDescent="0.2">
      <c r="A56" s="508" t="s">
        <v>413</v>
      </c>
      <c r="B56" s="505">
        <f>B55+B48+B39</f>
        <v>21916991</v>
      </c>
      <c r="C56" s="505">
        <f t="shared" ref="C56:D56" si="8">C55+C48+C39</f>
        <v>0</v>
      </c>
      <c r="D56" s="505">
        <f t="shared" si="8"/>
        <v>533504</v>
      </c>
      <c r="E56" s="505">
        <f t="shared" ref="E56" si="9">E55+E48+E39</f>
        <v>0</v>
      </c>
      <c r="F56" s="506">
        <f t="shared" si="1"/>
        <v>22450495</v>
      </c>
    </row>
    <row r="57" spans="1:6" ht="38.25" x14ac:dyDescent="0.2">
      <c r="A57" s="502" t="s">
        <v>414</v>
      </c>
      <c r="B57" s="497">
        <v>381594</v>
      </c>
      <c r="C57" s="511">
        <v>33728</v>
      </c>
      <c r="D57" s="497">
        <v>5002093</v>
      </c>
      <c r="E57" s="497"/>
      <c r="F57" s="492">
        <f t="shared" si="1"/>
        <v>5417415</v>
      </c>
    </row>
    <row r="58" spans="1:6" s="91" customFormat="1" ht="38.25" x14ac:dyDescent="0.2">
      <c r="A58" s="502" t="s">
        <v>634</v>
      </c>
      <c r="B58" s="497">
        <v>-12885</v>
      </c>
      <c r="C58" s="511"/>
      <c r="D58" s="497">
        <v>0</v>
      </c>
      <c r="E58" s="497"/>
      <c r="F58" s="492"/>
    </row>
    <row r="59" spans="1:6" ht="51" x14ac:dyDescent="0.2">
      <c r="A59" s="510" t="s">
        <v>415</v>
      </c>
      <c r="B59" s="497">
        <f>B57+B58</f>
        <v>368709</v>
      </c>
      <c r="C59" s="497">
        <f t="shared" ref="C59:E59" si="10">C57+C58</f>
        <v>33728</v>
      </c>
      <c r="D59" s="497">
        <f t="shared" si="10"/>
        <v>5002093</v>
      </c>
      <c r="E59" s="497">
        <f t="shared" si="10"/>
        <v>0</v>
      </c>
      <c r="F59" s="492">
        <f t="shared" si="1"/>
        <v>5404530</v>
      </c>
    </row>
    <row r="60" spans="1:6" ht="25.5" x14ac:dyDescent="0.2">
      <c r="A60" s="512" t="s">
        <v>416</v>
      </c>
      <c r="B60" s="497">
        <v>-616726</v>
      </c>
      <c r="C60" s="511">
        <v>-81547</v>
      </c>
      <c r="D60" s="497">
        <v>-2188709</v>
      </c>
      <c r="E60" s="497"/>
      <c r="F60" s="492">
        <f t="shared" si="1"/>
        <v>-2886982</v>
      </c>
    </row>
    <row r="61" spans="1:6" ht="38.25" x14ac:dyDescent="0.2">
      <c r="A61" s="510" t="s">
        <v>417</v>
      </c>
      <c r="B61" s="497">
        <f>B60</f>
        <v>-616726</v>
      </c>
      <c r="C61" s="511">
        <f>C60</f>
        <v>-81547</v>
      </c>
      <c r="D61" s="497">
        <f>D60</f>
        <v>-2188709</v>
      </c>
      <c r="E61" s="497"/>
      <c r="F61" s="492">
        <f t="shared" si="1"/>
        <v>-2886982</v>
      </c>
    </row>
    <row r="62" spans="1:6" ht="38.25" x14ac:dyDescent="0.2">
      <c r="A62" s="502" t="s">
        <v>418</v>
      </c>
      <c r="B62" s="497">
        <v>0</v>
      </c>
      <c r="C62" s="511">
        <v>0</v>
      </c>
      <c r="D62" s="497">
        <v>0</v>
      </c>
      <c r="E62" s="497">
        <v>0</v>
      </c>
      <c r="F62" s="492">
        <f t="shared" si="1"/>
        <v>0</v>
      </c>
    </row>
    <row r="63" spans="1:6" ht="38.25" x14ac:dyDescent="0.2">
      <c r="A63" s="510" t="s">
        <v>419</v>
      </c>
      <c r="B63" s="497">
        <f>B62</f>
        <v>0</v>
      </c>
      <c r="C63" s="511">
        <f>C62</f>
        <v>0</v>
      </c>
      <c r="D63" s="497">
        <f>D62</f>
        <v>0</v>
      </c>
      <c r="E63" s="497"/>
      <c r="F63" s="492">
        <f t="shared" si="1"/>
        <v>0</v>
      </c>
    </row>
    <row r="64" spans="1:6" ht="38.25" x14ac:dyDescent="0.2">
      <c r="A64" s="508" t="s">
        <v>420</v>
      </c>
      <c r="B64" s="509">
        <f>B59+B61+B63</f>
        <v>-248017</v>
      </c>
      <c r="C64" s="518">
        <f>C59+C61+C63</f>
        <v>-47819</v>
      </c>
      <c r="D64" s="509">
        <f>D59+D61+D63</f>
        <v>2813384</v>
      </c>
      <c r="E64" s="509">
        <f>E62</f>
        <v>0</v>
      </c>
      <c r="F64" s="506">
        <f t="shared" si="1"/>
        <v>2517548</v>
      </c>
    </row>
    <row r="65" spans="1:9" ht="25.5" x14ac:dyDescent="0.2">
      <c r="A65" s="502" t="s">
        <v>421</v>
      </c>
      <c r="B65" s="497"/>
      <c r="C65" s="511"/>
      <c r="D65" s="497">
        <v>0</v>
      </c>
      <c r="E65" s="497"/>
      <c r="F65" s="492">
        <f t="shared" si="1"/>
        <v>0</v>
      </c>
    </row>
    <row r="66" spans="1:9" ht="38.25" x14ac:dyDescent="0.2">
      <c r="A66" s="519" t="s">
        <v>422</v>
      </c>
      <c r="B66" s="509">
        <f>B65</f>
        <v>0</v>
      </c>
      <c r="C66" s="518">
        <f>C65</f>
        <v>0</v>
      </c>
      <c r="D66" s="509">
        <f>D65</f>
        <v>0</v>
      </c>
      <c r="E66" s="509">
        <f>E65</f>
        <v>0</v>
      </c>
      <c r="F66" s="506">
        <f t="shared" si="1"/>
        <v>0</v>
      </c>
    </row>
    <row r="67" spans="1:9" ht="25.5" x14ac:dyDescent="0.2">
      <c r="A67" s="520" t="s">
        <v>423</v>
      </c>
      <c r="B67" s="521">
        <f>B17+B20+B26+B56+B64+B66</f>
        <v>2963803362</v>
      </c>
      <c r="C67" s="521">
        <f t="shared" ref="C67:E67" si="11">C17+C20+C26+C56+C64+C66</f>
        <v>1161749</v>
      </c>
      <c r="D67" s="521">
        <f t="shared" si="11"/>
        <v>6546000</v>
      </c>
      <c r="E67" s="521">
        <f t="shared" si="11"/>
        <v>72080</v>
      </c>
      <c r="F67" s="522">
        <f t="shared" si="1"/>
        <v>2971583191</v>
      </c>
      <c r="I67" s="24"/>
    </row>
    <row r="68" spans="1:9" ht="25.5" x14ac:dyDescent="0.2">
      <c r="A68" s="502" t="s">
        <v>424</v>
      </c>
      <c r="B68" s="497">
        <v>2304248651</v>
      </c>
      <c r="C68" s="511">
        <f>'[2]12 A'!$C$23</f>
        <v>173101</v>
      </c>
      <c r="D68" s="497">
        <f>'[3]12 A'!$C$25</f>
        <v>14348196</v>
      </c>
      <c r="E68" s="497">
        <f>'[4]12 A'!$C$13</f>
        <v>3895</v>
      </c>
      <c r="F68" s="492">
        <f t="shared" si="1"/>
        <v>2318773843</v>
      </c>
    </row>
    <row r="69" spans="1:9" ht="25.5" x14ac:dyDescent="0.2">
      <c r="A69" s="502" t="s">
        <v>425</v>
      </c>
      <c r="B69" s="497">
        <v>793881982</v>
      </c>
      <c r="C69" s="511"/>
      <c r="D69" s="497"/>
      <c r="E69" s="497"/>
      <c r="F69" s="492">
        <f t="shared" si="1"/>
        <v>793881982</v>
      </c>
    </row>
    <row r="70" spans="1:9" ht="38.25" x14ac:dyDescent="0.2">
      <c r="A70" s="512" t="s">
        <v>426</v>
      </c>
      <c r="B70" s="497">
        <v>17253816</v>
      </c>
      <c r="C70" s="511">
        <f>'[2]12 A'!$C$24</f>
        <v>350202</v>
      </c>
      <c r="D70" s="497">
        <f>'[3]12 A'!$C$26</f>
        <v>271730</v>
      </c>
      <c r="E70" s="497">
        <f>'[4]12 A'!$C$14</f>
        <v>82388</v>
      </c>
      <c r="F70" s="492">
        <f t="shared" si="1"/>
        <v>17958136</v>
      </c>
    </row>
    <row r="71" spans="1:9" ht="51" x14ac:dyDescent="0.2">
      <c r="A71" s="504" t="s">
        <v>427</v>
      </c>
      <c r="B71" s="509">
        <f>B70</f>
        <v>17253816</v>
      </c>
      <c r="C71" s="518">
        <f>C70</f>
        <v>350202</v>
      </c>
      <c r="D71" s="509">
        <f>D70</f>
        <v>271730</v>
      </c>
      <c r="E71" s="509">
        <f>E70</f>
        <v>82388</v>
      </c>
      <c r="F71" s="506">
        <f t="shared" si="1"/>
        <v>17958136</v>
      </c>
    </row>
    <row r="72" spans="1:9" ht="25.5" x14ac:dyDescent="0.2">
      <c r="A72" s="498" t="s">
        <v>428</v>
      </c>
      <c r="B72" s="497">
        <v>-892420841</v>
      </c>
      <c r="C72" s="511">
        <v>-2371181</v>
      </c>
      <c r="D72" s="497">
        <v>-17765505</v>
      </c>
      <c r="E72" s="497">
        <v>-3253315</v>
      </c>
      <c r="F72" s="492">
        <f t="shared" si="1"/>
        <v>-915810842</v>
      </c>
    </row>
    <row r="73" spans="1:9" ht="25.5" x14ac:dyDescent="0.2">
      <c r="A73" s="498" t="s">
        <v>429</v>
      </c>
      <c r="B73" s="497">
        <v>-79944006</v>
      </c>
      <c r="C73" s="511">
        <v>-1237731</v>
      </c>
      <c r="D73" s="497">
        <v>6613031</v>
      </c>
      <c r="E73" s="497">
        <v>-635128</v>
      </c>
      <c r="F73" s="492">
        <f t="shared" si="1"/>
        <v>-75203834</v>
      </c>
    </row>
    <row r="74" spans="1:9" ht="25.5" x14ac:dyDescent="0.2">
      <c r="A74" s="504" t="s">
        <v>430</v>
      </c>
      <c r="B74" s="509">
        <f>B68+B69+B71+B72+B73</f>
        <v>2143019602</v>
      </c>
      <c r="C74" s="518">
        <f>C68+C71+C73+C72</f>
        <v>-3085609</v>
      </c>
      <c r="D74" s="509">
        <f>D68+D69+D71+D72+D73</f>
        <v>3467452</v>
      </c>
      <c r="E74" s="509">
        <f>E68+E69+E71+E72+E73</f>
        <v>-3802160</v>
      </c>
      <c r="F74" s="506">
        <f t="shared" si="1"/>
        <v>2139599285</v>
      </c>
    </row>
    <row r="75" spans="1:9" ht="38.25" x14ac:dyDescent="0.2">
      <c r="A75" s="498" t="s">
        <v>448</v>
      </c>
      <c r="B75" s="497">
        <v>100009</v>
      </c>
      <c r="C75" s="511">
        <v>427107</v>
      </c>
      <c r="D75" s="497"/>
      <c r="E75" s="497"/>
      <c r="F75" s="492">
        <f t="shared" si="1"/>
        <v>527116</v>
      </c>
    </row>
    <row r="76" spans="1:9" ht="38.25" x14ac:dyDescent="0.2">
      <c r="A76" s="502" t="s">
        <v>431</v>
      </c>
      <c r="B76" s="497">
        <v>207846</v>
      </c>
      <c r="C76" s="511">
        <v>65299</v>
      </c>
      <c r="D76" s="497">
        <v>0</v>
      </c>
      <c r="E76" s="497">
        <v>0</v>
      </c>
      <c r="F76" s="492">
        <f t="shared" si="1"/>
        <v>273145</v>
      </c>
    </row>
    <row r="77" spans="1:9" ht="38.25" x14ac:dyDescent="0.2">
      <c r="A77" s="502" t="s">
        <v>432</v>
      </c>
      <c r="B77" s="497">
        <v>33000</v>
      </c>
      <c r="C77" s="511"/>
      <c r="D77" s="497"/>
      <c r="E77" s="497"/>
      <c r="F77" s="492">
        <f t="shared" si="1"/>
        <v>33000</v>
      </c>
    </row>
    <row r="78" spans="1:9" ht="38.25" x14ac:dyDescent="0.2">
      <c r="A78" s="503" t="s">
        <v>433</v>
      </c>
      <c r="B78" s="501">
        <f>B76+B77+B75</f>
        <v>340855</v>
      </c>
      <c r="C78" s="494">
        <f>C76+C75</f>
        <v>492406</v>
      </c>
      <c r="D78" s="494">
        <f>D76+D75</f>
        <v>0</v>
      </c>
      <c r="E78" s="501">
        <f>E76+E77</f>
        <v>0</v>
      </c>
      <c r="F78" s="492">
        <f t="shared" si="1"/>
        <v>833261</v>
      </c>
    </row>
    <row r="79" spans="1:9" ht="51" x14ac:dyDescent="0.2">
      <c r="A79" s="498" t="s">
        <v>434</v>
      </c>
      <c r="B79" s="501">
        <v>2735857</v>
      </c>
      <c r="C79" s="494">
        <v>750273</v>
      </c>
      <c r="D79" s="501">
        <v>530751</v>
      </c>
      <c r="E79" s="501">
        <v>126638</v>
      </c>
      <c r="F79" s="492">
        <f t="shared" si="1"/>
        <v>4143519</v>
      </c>
    </row>
    <row r="80" spans="1:9" ht="63.75" x14ac:dyDescent="0.2">
      <c r="A80" s="498" t="s">
        <v>435</v>
      </c>
      <c r="B80" s="497"/>
      <c r="C80" s="511">
        <v>121000</v>
      </c>
      <c r="D80" s="497">
        <v>0</v>
      </c>
      <c r="E80" s="497">
        <v>0</v>
      </c>
      <c r="F80" s="492">
        <f t="shared" ref="F80:F94" si="12">SUM(B80:E80)</f>
        <v>121000</v>
      </c>
    </row>
    <row r="81" spans="1:6" s="670" customFormat="1" ht="51" x14ac:dyDescent="0.2">
      <c r="A81" s="498" t="s">
        <v>635</v>
      </c>
      <c r="B81" s="497">
        <v>999640</v>
      </c>
      <c r="C81" s="511"/>
      <c r="D81" s="497"/>
      <c r="E81" s="497"/>
      <c r="F81" s="492"/>
    </row>
    <row r="82" spans="1:6" ht="63.75" x14ac:dyDescent="0.2">
      <c r="A82" s="498" t="s">
        <v>436</v>
      </c>
      <c r="B82" s="501">
        <f>B83</f>
        <v>7259435</v>
      </c>
      <c r="C82" s="494">
        <f>SUM(C83:C85)</f>
        <v>871273</v>
      </c>
      <c r="D82" s="501"/>
      <c r="E82" s="501">
        <f>SUM(E83:E85)</f>
        <v>126638</v>
      </c>
      <c r="F82" s="492">
        <f t="shared" si="12"/>
        <v>8257346</v>
      </c>
    </row>
    <row r="83" spans="1:6" ht="89.25" x14ac:dyDescent="0.2">
      <c r="A83" s="498" t="s">
        <v>437</v>
      </c>
      <c r="B83" s="497">
        <v>7259435</v>
      </c>
      <c r="C83" s="511"/>
      <c r="D83" s="497"/>
      <c r="E83" s="497"/>
      <c r="F83" s="492">
        <f t="shared" si="12"/>
        <v>7259435</v>
      </c>
    </row>
    <row r="84" spans="1:6" ht="51" x14ac:dyDescent="0.2">
      <c r="A84" s="510" t="s">
        <v>438</v>
      </c>
      <c r="B84" s="497">
        <f>B79+B80+B82+B81</f>
        <v>10994932</v>
      </c>
      <c r="C84" s="511">
        <f>C79+C80</f>
        <v>871273</v>
      </c>
      <c r="D84" s="497">
        <f>D79</f>
        <v>530751</v>
      </c>
      <c r="E84" s="497">
        <f>E79</f>
        <v>126638</v>
      </c>
      <c r="F84" s="492">
        <f t="shared" si="12"/>
        <v>12523594</v>
      </c>
    </row>
    <row r="85" spans="1:6" ht="12.75" x14ac:dyDescent="0.2">
      <c r="A85" s="502" t="s">
        <v>439</v>
      </c>
      <c r="B85" s="497">
        <v>2154853</v>
      </c>
      <c r="C85" s="511"/>
      <c r="D85" s="497">
        <v>0</v>
      </c>
      <c r="E85" s="497"/>
      <c r="F85" s="492">
        <f t="shared" si="12"/>
        <v>2154853</v>
      </c>
    </row>
    <row r="86" spans="1:6" ht="38.25" x14ac:dyDescent="0.2">
      <c r="A86" s="502" t="s">
        <v>440</v>
      </c>
      <c r="B86" s="523">
        <v>0</v>
      </c>
      <c r="C86" s="524"/>
      <c r="D86" s="523">
        <v>0</v>
      </c>
      <c r="E86" s="523">
        <v>0</v>
      </c>
      <c r="F86" s="492">
        <f t="shared" si="12"/>
        <v>0</v>
      </c>
    </row>
    <row r="87" spans="1:6" s="670" customFormat="1" ht="51" x14ac:dyDescent="0.2">
      <c r="A87" s="498" t="s">
        <v>636</v>
      </c>
      <c r="B87" s="523">
        <v>1484969</v>
      </c>
      <c r="C87" s="523"/>
      <c r="D87" s="816"/>
      <c r="E87" s="523"/>
      <c r="F87" s="492"/>
    </row>
    <row r="88" spans="1:6" ht="38.25" x14ac:dyDescent="0.2">
      <c r="A88" s="507" t="s">
        <v>441</v>
      </c>
      <c r="B88" s="815">
        <f>B85+B86+B87</f>
        <v>3639822</v>
      </c>
      <c r="C88" s="525">
        <v>0</v>
      </c>
      <c r="D88" s="786">
        <f>D85+D86</f>
        <v>0</v>
      </c>
      <c r="E88" s="501">
        <f>E85+E86</f>
        <v>0</v>
      </c>
      <c r="F88" s="492">
        <f t="shared" si="12"/>
        <v>3639822</v>
      </c>
    </row>
    <row r="89" spans="1:6" ht="25.5" x14ac:dyDescent="0.2">
      <c r="A89" s="504" t="s">
        <v>442</v>
      </c>
      <c r="B89" s="526">
        <f>B88+B84+B78</f>
        <v>14975609</v>
      </c>
      <c r="C89" s="526">
        <f>C78+C84+C88</f>
        <v>1363679</v>
      </c>
      <c r="D89" s="526">
        <f t="shared" ref="D89" si="13">D88+D84+D78</f>
        <v>530751</v>
      </c>
      <c r="E89" s="526">
        <f>E88+E84+E78</f>
        <v>126638</v>
      </c>
      <c r="F89" s="492">
        <f t="shared" si="12"/>
        <v>16996677</v>
      </c>
    </row>
    <row r="90" spans="1:6" s="670" customFormat="1" ht="38.25" x14ac:dyDescent="0.2">
      <c r="A90" s="819" t="s">
        <v>637</v>
      </c>
      <c r="B90" s="818">
        <v>9447355</v>
      </c>
      <c r="C90" s="817"/>
      <c r="D90" s="818"/>
      <c r="E90" s="818"/>
      <c r="F90" s="491"/>
    </row>
    <row r="91" spans="1:6" ht="25.5" x14ac:dyDescent="0.2">
      <c r="A91" s="502" t="s">
        <v>443</v>
      </c>
      <c r="B91" s="527">
        <v>4693958</v>
      </c>
      <c r="C91" s="528">
        <v>2883679</v>
      </c>
      <c r="D91" s="527">
        <v>2547797</v>
      </c>
      <c r="E91" s="527">
        <v>3747602</v>
      </c>
      <c r="F91" s="492">
        <f t="shared" si="12"/>
        <v>13873036</v>
      </c>
    </row>
    <row r="92" spans="1:6" ht="38.25" x14ac:dyDescent="0.2">
      <c r="A92" s="502" t="s">
        <v>444</v>
      </c>
      <c r="B92" s="527">
        <v>791666838</v>
      </c>
      <c r="C92" s="528">
        <v>0</v>
      </c>
      <c r="D92" s="527">
        <v>0</v>
      </c>
      <c r="E92" s="527"/>
      <c r="F92" s="492">
        <f t="shared" si="12"/>
        <v>791666838</v>
      </c>
    </row>
    <row r="93" spans="1:6" ht="38.25" x14ac:dyDescent="0.2">
      <c r="A93" s="508" t="s">
        <v>445</v>
      </c>
      <c r="B93" s="529">
        <f>B91+B92+B90</f>
        <v>805808151</v>
      </c>
      <c r="C93" s="530">
        <f>C91+C92</f>
        <v>2883679</v>
      </c>
      <c r="D93" s="529">
        <f>D91+0</f>
        <v>2547797</v>
      </c>
      <c r="E93" s="529">
        <f>E91+E92</f>
        <v>3747602</v>
      </c>
      <c r="F93" s="506">
        <f t="shared" si="12"/>
        <v>814987229</v>
      </c>
    </row>
    <row r="94" spans="1:6" ht="25.5" x14ac:dyDescent="0.2">
      <c r="A94" s="531" t="s">
        <v>446</v>
      </c>
      <c r="B94" s="532">
        <f>B93+B89+B74</f>
        <v>2963803362</v>
      </c>
      <c r="C94" s="532">
        <f>C93+C89+C74</f>
        <v>1161749</v>
      </c>
      <c r="D94" s="532">
        <f>D93+D89+D74</f>
        <v>6546000</v>
      </c>
      <c r="E94" s="532">
        <f>E93+E89+E74</f>
        <v>72080</v>
      </c>
      <c r="F94" s="522">
        <f t="shared" si="12"/>
        <v>2971583191</v>
      </c>
    </row>
  </sheetData>
  <mergeCells count="7">
    <mergeCell ref="A1:F1"/>
    <mergeCell ref="A3:A6"/>
    <mergeCell ref="B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opLeftCell="A32" workbookViewId="0">
      <selection activeCell="A65" sqref="A65:I81"/>
    </sheetView>
  </sheetViews>
  <sheetFormatPr defaultRowHeight="12.75" x14ac:dyDescent="0.2"/>
  <cols>
    <col min="1" max="1" width="8.140625" style="91" customWidth="1"/>
    <col min="2" max="2" width="37.28515625" style="91" customWidth="1"/>
    <col min="3" max="3" width="14.28515625" style="91" customWidth="1"/>
    <col min="4" max="4" width="18.7109375" style="91" customWidth="1"/>
    <col min="5" max="5" width="18.5703125" style="91" customWidth="1"/>
    <col min="6" max="6" width="16.7109375" style="91" customWidth="1"/>
    <col min="7" max="7" width="22" style="91" customWidth="1"/>
    <col min="8" max="8" width="19.28515625" style="91" customWidth="1"/>
    <col min="9" max="9" width="25.85546875" style="91" customWidth="1"/>
    <col min="10" max="16384" width="9.140625" style="91"/>
  </cols>
  <sheetData>
    <row r="1" spans="1:9" x14ac:dyDescent="0.2">
      <c r="A1" s="1792"/>
      <c r="B1" s="1792"/>
      <c r="C1" s="1792"/>
      <c r="D1" s="1792"/>
      <c r="E1" s="1792"/>
      <c r="F1" s="1792"/>
      <c r="G1" s="1792"/>
      <c r="H1" s="1792"/>
      <c r="I1" s="1792"/>
    </row>
    <row r="2" spans="1:9" x14ac:dyDescent="0.2">
      <c r="A2" s="1792"/>
      <c r="B2" s="1792"/>
      <c r="C2" s="1792"/>
      <c r="D2" s="1792"/>
      <c r="E2" s="1792"/>
      <c r="F2" s="1792"/>
      <c r="G2" s="1792"/>
      <c r="H2" s="1792"/>
      <c r="I2" s="1792"/>
    </row>
    <row r="3" spans="1:9" ht="55.5" customHeight="1" thickBot="1" x14ac:dyDescent="0.25">
      <c r="A3" s="1792"/>
      <c r="B3" s="1792"/>
      <c r="C3" s="1792"/>
      <c r="D3" s="1792"/>
      <c r="E3" s="1792"/>
      <c r="F3" s="1792"/>
      <c r="G3" s="1792"/>
      <c r="H3" s="1792"/>
      <c r="I3" s="1792"/>
    </row>
    <row r="4" spans="1:9" ht="18.75" customHeight="1" thickBot="1" x14ac:dyDescent="0.25">
      <c r="A4" s="2022" t="s">
        <v>241</v>
      </c>
      <c r="B4" s="2023"/>
      <c r="C4" s="2023"/>
      <c r="D4" s="711"/>
      <c r="E4" s="711"/>
      <c r="F4" s="711"/>
      <c r="G4" s="711"/>
      <c r="H4" s="711"/>
      <c r="I4" s="712"/>
    </row>
    <row r="5" spans="1:9" s="19" customFormat="1" ht="27" customHeight="1" thickBot="1" x14ac:dyDescent="0.25">
      <c r="A5" s="1056"/>
      <c r="B5" s="1056" t="s">
        <v>449</v>
      </c>
      <c r="C5" s="1056" t="s">
        <v>450</v>
      </c>
      <c r="D5" s="1056" t="s">
        <v>451</v>
      </c>
      <c r="E5" s="1056" t="s">
        <v>604</v>
      </c>
      <c r="F5" s="1056" t="s">
        <v>603</v>
      </c>
      <c r="G5" s="1056" t="s">
        <v>452</v>
      </c>
      <c r="H5" s="1056" t="s">
        <v>602</v>
      </c>
      <c r="I5" s="1056" t="s">
        <v>453</v>
      </c>
    </row>
    <row r="6" spans="1:9" ht="13.5" thickBot="1" x14ac:dyDescent="0.25">
      <c r="A6" s="788">
        <v>1</v>
      </c>
      <c r="B6" s="788">
        <v>2</v>
      </c>
      <c r="C6" s="788">
        <v>3</v>
      </c>
      <c r="D6" s="788">
        <v>4</v>
      </c>
      <c r="E6" s="788">
        <v>5</v>
      </c>
      <c r="F6" s="788">
        <v>6</v>
      </c>
      <c r="G6" s="788">
        <v>7</v>
      </c>
      <c r="H6" s="788">
        <v>8</v>
      </c>
      <c r="I6" s="788">
        <v>9</v>
      </c>
    </row>
    <row r="7" spans="1:9" ht="26.25" thickBot="1" x14ac:dyDescent="0.25">
      <c r="A7" s="472" t="s">
        <v>333</v>
      </c>
      <c r="B7" s="473" t="s">
        <v>454</v>
      </c>
      <c r="C7" s="474">
        <v>21973776</v>
      </c>
      <c r="D7" s="474">
        <v>3142174578</v>
      </c>
      <c r="E7" s="474">
        <v>134595746</v>
      </c>
      <c r="F7" s="474">
        <v>0</v>
      </c>
      <c r="G7" s="474">
        <v>9047292</v>
      </c>
      <c r="H7" s="474">
        <v>2410736</v>
      </c>
      <c r="I7" s="474">
        <v>3310202128</v>
      </c>
    </row>
    <row r="8" spans="1:9" ht="26.25" thickBot="1" x14ac:dyDescent="0.25">
      <c r="A8" s="475" t="s">
        <v>335</v>
      </c>
      <c r="B8" s="476" t="s">
        <v>455</v>
      </c>
      <c r="C8" s="477">
        <v>0</v>
      </c>
      <c r="D8" s="477">
        <v>0</v>
      </c>
      <c r="E8" s="477">
        <v>0</v>
      </c>
      <c r="F8" s="477">
        <v>0</v>
      </c>
      <c r="G8" s="477">
        <v>14922980</v>
      </c>
      <c r="H8" s="477">
        <v>0</v>
      </c>
      <c r="I8" s="477">
        <v>14922980</v>
      </c>
    </row>
    <row r="9" spans="1:9" ht="13.5" thickBot="1" x14ac:dyDescent="0.25">
      <c r="A9" s="475" t="s">
        <v>339</v>
      </c>
      <c r="B9" s="476" t="s">
        <v>456</v>
      </c>
      <c r="C9" s="477">
        <v>0</v>
      </c>
      <c r="D9" s="477">
        <v>0</v>
      </c>
      <c r="E9" s="477">
        <v>0</v>
      </c>
      <c r="F9" s="477">
        <v>0</v>
      </c>
      <c r="G9" s="477">
        <v>106442878</v>
      </c>
      <c r="H9" s="477">
        <v>0</v>
      </c>
      <c r="I9" s="477">
        <v>106442878</v>
      </c>
    </row>
    <row r="10" spans="1:9" ht="13.5" thickBot="1" x14ac:dyDescent="0.25">
      <c r="A10" s="475" t="s">
        <v>341</v>
      </c>
      <c r="B10" s="476" t="s">
        <v>457</v>
      </c>
      <c r="C10" s="477">
        <v>0</v>
      </c>
      <c r="D10" s="477">
        <v>110132843</v>
      </c>
      <c r="E10" s="477">
        <v>4450355</v>
      </c>
      <c r="F10" s="477">
        <v>0</v>
      </c>
      <c r="G10" s="477">
        <v>0</v>
      </c>
      <c r="H10" s="477">
        <v>0</v>
      </c>
      <c r="I10" s="477">
        <v>114583198</v>
      </c>
    </row>
    <row r="11" spans="1:9" ht="13.5" thickBot="1" x14ac:dyDescent="0.25">
      <c r="A11" s="475" t="s">
        <v>352</v>
      </c>
      <c r="B11" s="476" t="s">
        <v>458</v>
      </c>
      <c r="C11" s="477">
        <v>0</v>
      </c>
      <c r="D11" s="477">
        <v>154100</v>
      </c>
      <c r="E11" s="477">
        <v>2134660</v>
      </c>
      <c r="F11" s="477">
        <v>0</v>
      </c>
      <c r="G11" s="477">
        <v>0</v>
      </c>
      <c r="H11" s="477">
        <v>0</v>
      </c>
      <c r="I11" s="477">
        <v>2288760</v>
      </c>
    </row>
    <row r="12" spans="1:9" ht="13.5" thickBot="1" x14ac:dyDescent="0.25">
      <c r="A12" s="472" t="s">
        <v>354</v>
      </c>
      <c r="B12" s="473" t="s">
        <v>601</v>
      </c>
      <c r="C12" s="474">
        <v>0</v>
      </c>
      <c r="D12" s="474">
        <v>110286943</v>
      </c>
      <c r="E12" s="474">
        <v>6585015</v>
      </c>
      <c r="F12" s="474">
        <v>0</v>
      </c>
      <c r="G12" s="474">
        <v>121365858</v>
      </c>
      <c r="H12" s="474">
        <v>0</v>
      </c>
      <c r="I12" s="474">
        <v>238237816</v>
      </c>
    </row>
    <row r="13" spans="1:9" ht="13.5" thickBot="1" x14ac:dyDescent="0.25">
      <c r="A13" s="475" t="s">
        <v>459</v>
      </c>
      <c r="B13" s="476" t="s">
        <v>694</v>
      </c>
      <c r="C13" s="477">
        <v>0</v>
      </c>
      <c r="D13" s="477">
        <v>171100</v>
      </c>
      <c r="E13" s="477">
        <v>0</v>
      </c>
      <c r="F13" s="477">
        <v>0</v>
      </c>
      <c r="G13" s="477">
        <v>0</v>
      </c>
      <c r="H13" s="477">
        <v>0</v>
      </c>
      <c r="I13" s="477">
        <v>171100</v>
      </c>
    </row>
    <row r="14" spans="1:9" ht="13.5" thickBot="1" x14ac:dyDescent="0.25">
      <c r="A14" s="475" t="s">
        <v>460</v>
      </c>
      <c r="B14" s="476" t="s">
        <v>614</v>
      </c>
      <c r="C14" s="477">
        <v>0</v>
      </c>
      <c r="D14" s="477">
        <v>0</v>
      </c>
      <c r="E14" s="477">
        <v>5286465</v>
      </c>
      <c r="F14" s="477">
        <v>0</v>
      </c>
      <c r="G14" s="477">
        <v>0</v>
      </c>
      <c r="H14" s="477">
        <v>0</v>
      </c>
      <c r="I14" s="477">
        <v>5286465</v>
      </c>
    </row>
    <row r="15" spans="1:9" ht="13.5" thickBot="1" x14ac:dyDescent="0.25">
      <c r="A15" s="475" t="s">
        <v>288</v>
      </c>
      <c r="B15" s="476" t="s">
        <v>461</v>
      </c>
      <c r="C15" s="477">
        <v>0</v>
      </c>
      <c r="D15" s="477">
        <v>154100</v>
      </c>
      <c r="E15" s="477">
        <v>2134660</v>
      </c>
      <c r="F15" s="477">
        <v>0</v>
      </c>
      <c r="G15" s="477">
        <v>117356757</v>
      </c>
      <c r="H15" s="477">
        <v>0</v>
      </c>
      <c r="I15" s="477">
        <v>119645517</v>
      </c>
    </row>
    <row r="16" spans="1:9" ht="13.5" thickBot="1" x14ac:dyDescent="0.25">
      <c r="A16" s="472" t="s">
        <v>289</v>
      </c>
      <c r="B16" s="473" t="s">
        <v>462</v>
      </c>
      <c r="C16" s="474">
        <v>0</v>
      </c>
      <c r="D16" s="474">
        <v>325200</v>
      </c>
      <c r="E16" s="474">
        <v>7421125</v>
      </c>
      <c r="F16" s="474">
        <v>0</v>
      </c>
      <c r="G16" s="474">
        <v>117356757</v>
      </c>
      <c r="H16" s="474">
        <v>0</v>
      </c>
      <c r="I16" s="474">
        <v>125103082</v>
      </c>
    </row>
    <row r="17" spans="1:9" ht="13.5" thickBot="1" x14ac:dyDescent="0.25">
      <c r="A17" s="472" t="s">
        <v>290</v>
      </c>
      <c r="B17" s="473" t="s">
        <v>600</v>
      </c>
      <c r="C17" s="474">
        <v>21973776</v>
      </c>
      <c r="D17" s="474">
        <v>3252136321</v>
      </c>
      <c r="E17" s="474">
        <v>133759636</v>
      </c>
      <c r="F17" s="474">
        <v>0</v>
      </c>
      <c r="G17" s="474">
        <v>13056393</v>
      </c>
      <c r="H17" s="474">
        <v>2410736</v>
      </c>
      <c r="I17" s="474">
        <v>3423336862</v>
      </c>
    </row>
    <row r="18" spans="1:9" ht="26.25" thickBot="1" x14ac:dyDescent="0.25">
      <c r="A18" s="472" t="s">
        <v>291</v>
      </c>
      <c r="B18" s="473" t="s">
        <v>463</v>
      </c>
      <c r="C18" s="474">
        <v>19603577</v>
      </c>
      <c r="D18" s="474">
        <v>570071196</v>
      </c>
      <c r="E18" s="474">
        <v>100644965</v>
      </c>
      <c r="F18" s="474">
        <v>0</v>
      </c>
      <c r="G18" s="474">
        <v>0</v>
      </c>
      <c r="H18" s="474">
        <v>2410736</v>
      </c>
      <c r="I18" s="474">
        <v>692730474</v>
      </c>
    </row>
    <row r="19" spans="1:9" ht="13.5" thickBot="1" x14ac:dyDescent="0.25">
      <c r="A19" s="475" t="s">
        <v>464</v>
      </c>
      <c r="B19" s="476" t="s">
        <v>465</v>
      </c>
      <c r="C19" s="477">
        <v>902623</v>
      </c>
      <c r="D19" s="477">
        <v>83279214</v>
      </c>
      <c r="E19" s="477">
        <v>12592857</v>
      </c>
      <c r="F19" s="477">
        <v>0</v>
      </c>
      <c r="G19" s="477">
        <v>0</v>
      </c>
      <c r="H19" s="477">
        <v>0</v>
      </c>
      <c r="I19" s="477">
        <v>96774694</v>
      </c>
    </row>
    <row r="20" spans="1:9" ht="13.5" thickBot="1" x14ac:dyDescent="0.25">
      <c r="A20" s="475" t="s">
        <v>466</v>
      </c>
      <c r="B20" s="476" t="s">
        <v>467</v>
      </c>
      <c r="C20" s="477">
        <v>0</v>
      </c>
      <c r="D20" s="477">
        <v>0</v>
      </c>
      <c r="E20" s="477">
        <v>5286465</v>
      </c>
      <c r="F20" s="477">
        <v>0</v>
      </c>
      <c r="G20" s="477">
        <v>0</v>
      </c>
      <c r="H20" s="477">
        <v>0</v>
      </c>
      <c r="I20" s="477">
        <v>5286465</v>
      </c>
    </row>
    <row r="21" spans="1:9" ht="26.25" thickBot="1" x14ac:dyDescent="0.25">
      <c r="A21" s="472" t="s">
        <v>468</v>
      </c>
      <c r="B21" s="473" t="s">
        <v>469</v>
      </c>
      <c r="C21" s="474">
        <v>20506200</v>
      </c>
      <c r="D21" s="474">
        <v>653350410</v>
      </c>
      <c r="E21" s="474">
        <v>107951357</v>
      </c>
      <c r="F21" s="474">
        <v>0</v>
      </c>
      <c r="G21" s="474">
        <v>0</v>
      </c>
      <c r="H21" s="474">
        <v>2410736</v>
      </c>
      <c r="I21" s="474">
        <v>784218703</v>
      </c>
    </row>
    <row r="22" spans="1:9" ht="13.5" thickBot="1" x14ac:dyDescent="0.25">
      <c r="A22" s="472" t="s">
        <v>474</v>
      </c>
      <c r="B22" s="473" t="s">
        <v>475</v>
      </c>
      <c r="C22" s="474">
        <v>20506200</v>
      </c>
      <c r="D22" s="474">
        <v>653350410</v>
      </c>
      <c r="E22" s="474">
        <v>107951357</v>
      </c>
      <c r="F22" s="474">
        <v>0</v>
      </c>
      <c r="G22" s="474">
        <v>0</v>
      </c>
      <c r="H22" s="474">
        <v>2410736</v>
      </c>
      <c r="I22" s="474">
        <v>784218703</v>
      </c>
    </row>
    <row r="23" spans="1:9" ht="13.5" thickBot="1" x14ac:dyDescent="0.25">
      <c r="A23" s="472" t="s">
        <v>476</v>
      </c>
      <c r="B23" s="473" t="s">
        <v>477</v>
      </c>
      <c r="C23" s="474">
        <v>1467576</v>
      </c>
      <c r="D23" s="474">
        <v>2598785911</v>
      </c>
      <c r="E23" s="474">
        <v>25808279</v>
      </c>
      <c r="F23" s="474">
        <v>0</v>
      </c>
      <c r="G23" s="474">
        <v>13056393</v>
      </c>
      <c r="H23" s="474">
        <v>0</v>
      </c>
      <c r="I23" s="474">
        <v>2639118159</v>
      </c>
    </row>
    <row r="24" spans="1:9" s="670" customFormat="1" ht="13.5" thickBot="1" x14ac:dyDescent="0.25">
      <c r="A24" s="475" t="s">
        <v>478</v>
      </c>
      <c r="B24" s="476" t="s">
        <v>479</v>
      </c>
      <c r="C24" s="477">
        <v>19233897</v>
      </c>
      <c r="D24" s="477">
        <v>4620760</v>
      </c>
      <c r="E24" s="477">
        <v>64309219</v>
      </c>
      <c r="F24" s="477">
        <v>0</v>
      </c>
      <c r="G24" s="477">
        <v>0</v>
      </c>
      <c r="H24" s="477">
        <v>0</v>
      </c>
      <c r="I24" s="477">
        <v>88163876</v>
      </c>
    </row>
    <row r="25" spans="1:9" ht="13.5" thickBot="1" x14ac:dyDescent="0.25">
      <c r="A25" s="708"/>
      <c r="B25" s="708"/>
      <c r="C25" s="708"/>
      <c r="D25" s="708"/>
      <c r="E25" s="708"/>
      <c r="F25" s="708"/>
      <c r="G25" s="708"/>
      <c r="H25" s="708"/>
      <c r="I25" s="708"/>
    </row>
    <row r="26" spans="1:9" ht="13.5" thickBot="1" x14ac:dyDescent="0.25">
      <c r="A26" s="2022" t="s">
        <v>605</v>
      </c>
      <c r="B26" s="2023"/>
      <c r="C26" s="478"/>
      <c r="D26" s="478"/>
      <c r="E26" s="478"/>
      <c r="F26" s="478"/>
      <c r="G26" s="478"/>
      <c r="H26" s="478"/>
      <c r="I26" s="479"/>
    </row>
    <row r="27" spans="1:9" ht="63.75" thickBot="1" x14ac:dyDescent="0.25">
      <c r="A27" s="551"/>
      <c r="B27" s="551" t="s">
        <v>449</v>
      </c>
      <c r="C27" s="551" t="s">
        <v>450</v>
      </c>
      <c r="D27" s="551" t="s">
        <v>451</v>
      </c>
      <c r="E27" s="551" t="s">
        <v>604</v>
      </c>
      <c r="F27" s="551" t="s">
        <v>603</v>
      </c>
      <c r="G27" s="551" t="s">
        <v>452</v>
      </c>
      <c r="H27" s="551" t="s">
        <v>602</v>
      </c>
      <c r="I27" s="551" t="s">
        <v>453</v>
      </c>
    </row>
    <row r="28" spans="1:9" ht="16.5" thickBot="1" x14ac:dyDescent="0.25">
      <c r="A28" s="551">
        <v>1</v>
      </c>
      <c r="B28" s="551">
        <v>2</v>
      </c>
      <c r="C28" s="551">
        <v>3</v>
      </c>
      <c r="D28" s="551">
        <v>4</v>
      </c>
      <c r="E28" s="551">
        <v>5</v>
      </c>
      <c r="F28" s="551">
        <v>6</v>
      </c>
      <c r="G28" s="551">
        <v>7</v>
      </c>
      <c r="H28" s="551">
        <v>8</v>
      </c>
      <c r="I28" s="551">
        <v>9</v>
      </c>
    </row>
    <row r="29" spans="1:9" ht="26.25" thickBot="1" x14ac:dyDescent="0.25">
      <c r="A29" s="472" t="s">
        <v>333</v>
      </c>
      <c r="B29" s="473" t="s">
        <v>454</v>
      </c>
      <c r="C29" s="474">
        <v>492941</v>
      </c>
      <c r="D29" s="474">
        <v>0</v>
      </c>
      <c r="E29" s="474">
        <v>1028952</v>
      </c>
      <c r="F29" s="474">
        <v>0</v>
      </c>
      <c r="G29" s="474">
        <v>0</v>
      </c>
      <c r="H29" s="474">
        <v>0</v>
      </c>
      <c r="I29" s="474">
        <f>SUM(C29:H29)</f>
        <v>1521893</v>
      </c>
    </row>
    <row r="30" spans="1:9" ht="26.25" thickBot="1" x14ac:dyDescent="0.25">
      <c r="A30" s="475" t="s">
        <v>335</v>
      </c>
      <c r="B30" s="476" t="s">
        <v>455</v>
      </c>
      <c r="C30" s="477">
        <v>0</v>
      </c>
      <c r="D30" s="477">
        <v>0</v>
      </c>
      <c r="E30" s="477">
        <v>0</v>
      </c>
      <c r="F30" s="477">
        <v>0</v>
      </c>
      <c r="G30" s="477">
        <v>742960</v>
      </c>
      <c r="H30" s="477">
        <v>0</v>
      </c>
      <c r="I30" s="474">
        <f t="shared" ref="I30:I43" si="0">SUM(C30:H30)</f>
        <v>742960</v>
      </c>
    </row>
    <row r="31" spans="1:9" ht="13.5" thickBot="1" x14ac:dyDescent="0.25">
      <c r="A31" s="475" t="s">
        <v>341</v>
      </c>
      <c r="B31" s="476" t="s">
        <v>457</v>
      </c>
      <c r="C31" s="477">
        <v>0</v>
      </c>
      <c r="D31" s="477">
        <v>0</v>
      </c>
      <c r="E31" s="477">
        <v>742960</v>
      </c>
      <c r="F31" s="477">
        <v>0</v>
      </c>
      <c r="G31" s="477">
        <v>0</v>
      </c>
      <c r="H31" s="477">
        <v>0</v>
      </c>
      <c r="I31" s="474">
        <f t="shared" si="0"/>
        <v>742960</v>
      </c>
    </row>
    <row r="32" spans="1:9" ht="13.5" thickBot="1" x14ac:dyDescent="0.25">
      <c r="A32" s="475" t="s">
        <v>352</v>
      </c>
      <c r="B32" s="476" t="s">
        <v>458</v>
      </c>
      <c r="C32" s="477">
        <v>30328</v>
      </c>
      <c r="D32" s="477">
        <v>0</v>
      </c>
      <c r="E32" s="477">
        <v>968762</v>
      </c>
      <c r="F32" s="477">
        <v>0</v>
      </c>
      <c r="G32" s="477">
        <v>0</v>
      </c>
      <c r="H32" s="477">
        <v>0</v>
      </c>
      <c r="I32" s="474">
        <f t="shared" si="0"/>
        <v>999090</v>
      </c>
    </row>
    <row r="33" spans="1:9" ht="13.5" thickBot="1" x14ac:dyDescent="0.25">
      <c r="A33" s="472" t="s">
        <v>354</v>
      </c>
      <c r="B33" s="473" t="s">
        <v>601</v>
      </c>
      <c r="C33" s="474">
        <v>30328</v>
      </c>
      <c r="D33" s="474">
        <v>0</v>
      </c>
      <c r="E33" s="474">
        <f>E31+E32</f>
        <v>1711722</v>
      </c>
      <c r="F33" s="474">
        <v>0</v>
      </c>
      <c r="G33" s="474">
        <f>G30</f>
        <v>742960</v>
      </c>
      <c r="H33" s="474">
        <v>0</v>
      </c>
      <c r="I33" s="474">
        <f t="shared" si="0"/>
        <v>2485010</v>
      </c>
    </row>
    <row r="34" spans="1:9" ht="13.5" thickBot="1" x14ac:dyDescent="0.25">
      <c r="A34" s="475" t="s">
        <v>288</v>
      </c>
      <c r="B34" s="476" t="s">
        <v>461</v>
      </c>
      <c r="C34" s="477">
        <v>30328</v>
      </c>
      <c r="D34" s="477">
        <v>0</v>
      </c>
      <c r="E34" s="477">
        <v>968762</v>
      </c>
      <c r="F34" s="477">
        <v>0</v>
      </c>
      <c r="G34" s="477">
        <v>742960</v>
      </c>
      <c r="H34" s="477">
        <v>0</v>
      </c>
      <c r="I34" s="474">
        <f t="shared" si="0"/>
        <v>1742050</v>
      </c>
    </row>
    <row r="35" spans="1:9" ht="13.5" thickBot="1" x14ac:dyDescent="0.25">
      <c r="A35" s="472" t="s">
        <v>289</v>
      </c>
      <c r="B35" s="473" t="s">
        <v>462</v>
      </c>
      <c r="C35" s="474">
        <f>C34</f>
        <v>30328</v>
      </c>
      <c r="D35" s="474">
        <f t="shared" ref="D35:H35" si="1">D34</f>
        <v>0</v>
      </c>
      <c r="E35" s="474">
        <f t="shared" si="1"/>
        <v>968762</v>
      </c>
      <c r="F35" s="474">
        <f t="shared" si="1"/>
        <v>0</v>
      </c>
      <c r="G35" s="474">
        <f t="shared" si="1"/>
        <v>742960</v>
      </c>
      <c r="H35" s="474">
        <f t="shared" si="1"/>
        <v>0</v>
      </c>
      <c r="I35" s="474">
        <f t="shared" si="0"/>
        <v>1742050</v>
      </c>
    </row>
    <row r="36" spans="1:9" ht="13.5" thickBot="1" x14ac:dyDescent="0.25">
      <c r="A36" s="472" t="s">
        <v>290</v>
      </c>
      <c r="B36" s="473" t="s">
        <v>600</v>
      </c>
      <c r="C36" s="474">
        <v>492941</v>
      </c>
      <c r="D36" s="474">
        <v>0</v>
      </c>
      <c r="E36" s="474">
        <f>E29+E33-E35</f>
        <v>1771912</v>
      </c>
      <c r="F36" s="474">
        <f t="shared" ref="F36:H36" si="2">F29+F33-F35</f>
        <v>0</v>
      </c>
      <c r="G36" s="474">
        <f t="shared" si="2"/>
        <v>0</v>
      </c>
      <c r="H36" s="474">
        <f t="shared" si="2"/>
        <v>0</v>
      </c>
      <c r="I36" s="474">
        <f t="shared" si="0"/>
        <v>2264853</v>
      </c>
    </row>
    <row r="37" spans="1:9" ht="26.25" thickBot="1" x14ac:dyDescent="0.25">
      <c r="A37" s="472" t="s">
        <v>291</v>
      </c>
      <c r="B37" s="473" t="s">
        <v>463</v>
      </c>
      <c r="C37" s="474">
        <v>109528</v>
      </c>
      <c r="D37" s="474">
        <v>0</v>
      </c>
      <c r="E37" s="474">
        <v>742888</v>
      </c>
      <c r="F37" s="474">
        <v>0</v>
      </c>
      <c r="G37" s="474">
        <v>0</v>
      </c>
      <c r="H37" s="474">
        <v>0</v>
      </c>
      <c r="I37" s="474">
        <f t="shared" si="0"/>
        <v>852416</v>
      </c>
    </row>
    <row r="38" spans="1:9" ht="13.5" thickBot="1" x14ac:dyDescent="0.25">
      <c r="A38" s="475" t="s">
        <v>464</v>
      </c>
      <c r="B38" s="476" t="s">
        <v>465</v>
      </c>
      <c r="C38" s="477">
        <v>61346</v>
      </c>
      <c r="D38" s="477">
        <v>0</v>
      </c>
      <c r="E38" s="477">
        <v>395177</v>
      </c>
      <c r="F38" s="477">
        <v>0</v>
      </c>
      <c r="G38" s="477">
        <v>0</v>
      </c>
      <c r="H38" s="477">
        <v>0</v>
      </c>
      <c r="I38" s="474">
        <f t="shared" si="0"/>
        <v>456523</v>
      </c>
    </row>
    <row r="39" spans="1:9" s="670" customFormat="1" ht="13.5" thickBot="1" x14ac:dyDescent="0.25">
      <c r="A39" s="475">
        <v>18</v>
      </c>
      <c r="B39" s="476" t="s">
        <v>467</v>
      </c>
      <c r="C39" s="477"/>
      <c r="D39" s="477"/>
      <c r="E39" s="477">
        <v>25472</v>
      </c>
      <c r="F39" s="477"/>
      <c r="G39" s="477"/>
      <c r="H39" s="477"/>
      <c r="I39" s="474">
        <f t="shared" si="0"/>
        <v>25472</v>
      </c>
    </row>
    <row r="40" spans="1:9" ht="26.25" thickBot="1" x14ac:dyDescent="0.25">
      <c r="A40" s="472" t="s">
        <v>468</v>
      </c>
      <c r="B40" s="473" t="s">
        <v>469</v>
      </c>
      <c r="C40" s="474">
        <f>C37+C38-C39</f>
        <v>170874</v>
      </c>
      <c r="D40" s="474">
        <f t="shared" ref="D40:H40" si="3">D37+D38-D39</f>
        <v>0</v>
      </c>
      <c r="E40" s="474">
        <f t="shared" si="3"/>
        <v>1112593</v>
      </c>
      <c r="F40" s="474">
        <f t="shared" si="3"/>
        <v>0</v>
      </c>
      <c r="G40" s="474">
        <f t="shared" si="3"/>
        <v>0</v>
      </c>
      <c r="H40" s="474">
        <f t="shared" si="3"/>
        <v>0</v>
      </c>
      <c r="I40" s="474">
        <f t="shared" si="0"/>
        <v>1283467</v>
      </c>
    </row>
    <row r="41" spans="1:9" ht="13.5" thickBot="1" x14ac:dyDescent="0.25">
      <c r="A41" s="472" t="s">
        <v>474</v>
      </c>
      <c r="B41" s="473" t="s">
        <v>475</v>
      </c>
      <c r="C41" s="474">
        <f>C40</f>
        <v>170874</v>
      </c>
      <c r="D41" s="474">
        <f t="shared" ref="D41:H41" si="4">D40</f>
        <v>0</v>
      </c>
      <c r="E41" s="474">
        <f t="shared" si="4"/>
        <v>1112593</v>
      </c>
      <c r="F41" s="474">
        <f t="shared" si="4"/>
        <v>0</v>
      </c>
      <c r="G41" s="474">
        <f t="shared" si="4"/>
        <v>0</v>
      </c>
      <c r="H41" s="474">
        <f t="shared" si="4"/>
        <v>0</v>
      </c>
      <c r="I41" s="474">
        <f t="shared" si="0"/>
        <v>1283467</v>
      </c>
    </row>
    <row r="42" spans="1:9" ht="13.5" thickBot="1" x14ac:dyDescent="0.25">
      <c r="A42" s="472" t="s">
        <v>476</v>
      </c>
      <c r="B42" s="473" t="s">
        <v>477</v>
      </c>
      <c r="C42" s="474">
        <f>C36-C41</f>
        <v>322067</v>
      </c>
      <c r="D42" s="474">
        <f t="shared" ref="D42:H42" si="5">D36-D41</f>
        <v>0</v>
      </c>
      <c r="E42" s="474">
        <f t="shared" si="5"/>
        <v>659319</v>
      </c>
      <c r="F42" s="474">
        <f t="shared" si="5"/>
        <v>0</v>
      </c>
      <c r="G42" s="474">
        <f t="shared" si="5"/>
        <v>0</v>
      </c>
      <c r="H42" s="474">
        <f t="shared" si="5"/>
        <v>0</v>
      </c>
      <c r="I42" s="474">
        <f t="shared" si="0"/>
        <v>981386</v>
      </c>
    </row>
    <row r="43" spans="1:9" ht="13.5" thickBot="1" x14ac:dyDescent="0.25">
      <c r="A43" s="469" t="s">
        <v>478</v>
      </c>
      <c r="B43" s="470" t="s">
        <v>479</v>
      </c>
      <c r="C43" s="471">
        <v>109528</v>
      </c>
      <c r="D43" s="471">
        <v>0</v>
      </c>
      <c r="E43" s="471">
        <v>968762</v>
      </c>
      <c r="F43" s="471">
        <v>0</v>
      </c>
      <c r="G43" s="471">
        <v>0</v>
      </c>
      <c r="H43" s="471">
        <v>0</v>
      </c>
      <c r="I43" s="474">
        <f t="shared" si="0"/>
        <v>1078290</v>
      </c>
    </row>
    <row r="44" spans="1:9" ht="13.5" thickBot="1" x14ac:dyDescent="0.25">
      <c r="A44" s="480"/>
      <c r="B44" s="467"/>
      <c r="C44" s="468"/>
      <c r="D44" s="468"/>
      <c r="E44" s="468"/>
      <c r="F44" s="468"/>
      <c r="G44" s="468"/>
      <c r="H44" s="468"/>
      <c r="I44" s="468"/>
    </row>
    <row r="45" spans="1:9" ht="13.5" thickBot="1" x14ac:dyDescent="0.25">
      <c r="A45" s="2022" t="s">
        <v>606</v>
      </c>
      <c r="B45" s="2023"/>
      <c r="C45" s="2023"/>
      <c r="D45" s="713"/>
      <c r="E45" s="713"/>
      <c r="F45" s="713"/>
      <c r="G45" s="713"/>
      <c r="H45" s="713"/>
      <c r="I45" s="714"/>
    </row>
    <row r="46" spans="1:9" ht="58.5" customHeight="1" thickBot="1" x14ac:dyDescent="0.25">
      <c r="A46" s="788"/>
      <c r="B46" s="788" t="s">
        <v>449</v>
      </c>
      <c r="C46" s="788" t="s">
        <v>450</v>
      </c>
      <c r="D46" s="788" t="s">
        <v>451</v>
      </c>
      <c r="E46" s="788" t="s">
        <v>604</v>
      </c>
      <c r="F46" s="788" t="s">
        <v>603</v>
      </c>
      <c r="G46" s="788" t="s">
        <v>452</v>
      </c>
      <c r="H46" s="788" t="s">
        <v>602</v>
      </c>
      <c r="I46" s="788" t="s">
        <v>453</v>
      </c>
    </row>
    <row r="47" spans="1:9" ht="26.25" thickBot="1" x14ac:dyDescent="0.25">
      <c r="A47" s="472" t="s">
        <v>333</v>
      </c>
      <c r="B47" s="473" t="s">
        <v>454</v>
      </c>
      <c r="C47" s="474">
        <v>550000</v>
      </c>
      <c r="D47" s="474">
        <v>0</v>
      </c>
      <c r="E47" s="474">
        <v>2650061</v>
      </c>
      <c r="F47" s="474">
        <v>0</v>
      </c>
      <c r="G47" s="474">
        <v>0</v>
      </c>
      <c r="H47" s="474">
        <v>0</v>
      </c>
      <c r="I47" s="474">
        <v>3200061</v>
      </c>
    </row>
    <row r="48" spans="1:9" ht="26.25" thickBot="1" x14ac:dyDescent="0.25">
      <c r="A48" s="475" t="s">
        <v>335</v>
      </c>
      <c r="B48" s="476" t="s">
        <v>455</v>
      </c>
      <c r="C48" s="477">
        <v>0</v>
      </c>
      <c r="D48" s="477">
        <v>0</v>
      </c>
      <c r="E48" s="477">
        <v>0</v>
      </c>
      <c r="F48" s="477">
        <v>0</v>
      </c>
      <c r="G48" s="477">
        <v>1311762</v>
      </c>
      <c r="H48" s="477">
        <v>0</v>
      </c>
      <c r="I48" s="477">
        <v>1311762</v>
      </c>
    </row>
    <row r="49" spans="1:9" ht="13.5" thickBot="1" x14ac:dyDescent="0.25">
      <c r="A49" s="475" t="s">
        <v>341</v>
      </c>
      <c r="B49" s="476" t="s">
        <v>457</v>
      </c>
      <c r="C49" s="477">
        <v>0</v>
      </c>
      <c r="D49" s="477">
        <v>0</v>
      </c>
      <c r="E49" s="477">
        <v>1311762</v>
      </c>
      <c r="F49" s="477">
        <v>0</v>
      </c>
      <c r="G49" s="477">
        <v>0</v>
      </c>
      <c r="H49" s="477">
        <v>0</v>
      </c>
      <c r="I49" s="477">
        <v>1311762</v>
      </c>
    </row>
    <row r="50" spans="1:9" ht="13.5" thickBot="1" x14ac:dyDescent="0.25">
      <c r="A50" s="475" t="s">
        <v>352</v>
      </c>
      <c r="B50" s="476" t="s">
        <v>458</v>
      </c>
      <c r="C50" s="477">
        <v>0</v>
      </c>
      <c r="D50" s="477">
        <v>0</v>
      </c>
      <c r="E50" s="477">
        <v>1311873</v>
      </c>
      <c r="F50" s="477">
        <v>0</v>
      </c>
      <c r="G50" s="477">
        <v>0</v>
      </c>
      <c r="H50" s="477">
        <v>0</v>
      </c>
      <c r="I50" s="477">
        <v>1311873</v>
      </c>
    </row>
    <row r="51" spans="1:9" ht="13.5" thickBot="1" x14ac:dyDescent="0.25">
      <c r="A51" s="472" t="s">
        <v>354</v>
      </c>
      <c r="B51" s="473" t="s">
        <v>601</v>
      </c>
      <c r="C51" s="474">
        <v>0</v>
      </c>
      <c r="D51" s="474">
        <v>0</v>
      </c>
      <c r="E51" s="474">
        <v>2623635</v>
      </c>
      <c r="F51" s="474">
        <v>0</v>
      </c>
      <c r="G51" s="474">
        <v>1311762</v>
      </c>
      <c r="H51" s="474">
        <v>0</v>
      </c>
      <c r="I51" s="474">
        <v>3935397</v>
      </c>
    </row>
    <row r="52" spans="1:9" ht="13.5" thickBot="1" x14ac:dyDescent="0.25">
      <c r="A52" s="475" t="s">
        <v>460</v>
      </c>
      <c r="B52" s="476" t="s">
        <v>614</v>
      </c>
      <c r="C52" s="477">
        <v>0</v>
      </c>
      <c r="D52" s="477">
        <v>0</v>
      </c>
      <c r="E52" s="477">
        <v>103019</v>
      </c>
      <c r="F52" s="477">
        <v>0</v>
      </c>
      <c r="G52" s="477">
        <v>0</v>
      </c>
      <c r="H52" s="477">
        <v>0</v>
      </c>
      <c r="I52" s="477">
        <v>103019</v>
      </c>
    </row>
    <row r="53" spans="1:9" ht="13.5" thickBot="1" x14ac:dyDescent="0.25">
      <c r="A53" s="475" t="s">
        <v>288</v>
      </c>
      <c r="B53" s="476" t="s">
        <v>461</v>
      </c>
      <c r="C53" s="477">
        <v>0</v>
      </c>
      <c r="D53" s="477">
        <v>0</v>
      </c>
      <c r="E53" s="477">
        <v>1311873</v>
      </c>
      <c r="F53" s="477">
        <v>0</v>
      </c>
      <c r="G53" s="477">
        <v>1311762</v>
      </c>
      <c r="H53" s="477">
        <v>0</v>
      </c>
      <c r="I53" s="477">
        <v>2623635</v>
      </c>
    </row>
    <row r="54" spans="1:9" ht="13.5" thickBot="1" x14ac:dyDescent="0.25">
      <c r="A54" s="472" t="s">
        <v>289</v>
      </c>
      <c r="B54" s="473" t="s">
        <v>462</v>
      </c>
      <c r="C54" s="474">
        <v>0</v>
      </c>
      <c r="D54" s="474">
        <v>0</v>
      </c>
      <c r="E54" s="474">
        <v>1414892</v>
      </c>
      <c r="F54" s="474">
        <v>0</v>
      </c>
      <c r="G54" s="474">
        <v>1311762</v>
      </c>
      <c r="H54" s="474">
        <v>0</v>
      </c>
      <c r="I54" s="474">
        <v>2726654</v>
      </c>
    </row>
    <row r="55" spans="1:9" ht="13.5" thickBot="1" x14ac:dyDescent="0.25">
      <c r="A55" s="472" t="s">
        <v>290</v>
      </c>
      <c r="B55" s="473" t="s">
        <v>600</v>
      </c>
      <c r="C55" s="474">
        <v>550000</v>
      </c>
      <c r="D55" s="474">
        <v>0</v>
      </c>
      <c r="E55" s="474">
        <v>3858804</v>
      </c>
      <c r="F55" s="474">
        <v>0</v>
      </c>
      <c r="G55" s="474">
        <v>0</v>
      </c>
      <c r="H55" s="474">
        <v>0</v>
      </c>
      <c r="I55" s="474">
        <v>4408804</v>
      </c>
    </row>
    <row r="56" spans="1:9" ht="26.25" thickBot="1" x14ac:dyDescent="0.25">
      <c r="A56" s="472" t="s">
        <v>291</v>
      </c>
      <c r="B56" s="473" t="s">
        <v>463</v>
      </c>
      <c r="C56" s="474">
        <v>550000</v>
      </c>
      <c r="D56" s="474">
        <v>0</v>
      </c>
      <c r="E56" s="474">
        <v>2650061</v>
      </c>
      <c r="F56" s="474">
        <v>0</v>
      </c>
      <c r="G56" s="474">
        <v>0</v>
      </c>
      <c r="H56" s="474">
        <v>0</v>
      </c>
      <c r="I56" s="474">
        <v>3200061</v>
      </c>
    </row>
    <row r="57" spans="1:9" ht="13.5" thickBot="1" x14ac:dyDescent="0.25">
      <c r="A57" s="475" t="s">
        <v>464</v>
      </c>
      <c r="B57" s="476" t="s">
        <v>465</v>
      </c>
      <c r="C57" s="477">
        <v>0</v>
      </c>
      <c r="D57" s="477">
        <v>0</v>
      </c>
      <c r="E57" s="477">
        <v>169146</v>
      </c>
      <c r="F57" s="477">
        <v>0</v>
      </c>
      <c r="G57" s="477">
        <v>0</v>
      </c>
      <c r="H57" s="477">
        <v>0</v>
      </c>
      <c r="I57" s="477">
        <v>169146</v>
      </c>
    </row>
    <row r="58" spans="1:9" s="670" customFormat="1" ht="13.5" thickBot="1" x14ac:dyDescent="0.25">
      <c r="A58" s="475" t="s">
        <v>466</v>
      </c>
      <c r="B58" s="476" t="s">
        <v>467</v>
      </c>
      <c r="C58" s="477">
        <v>0</v>
      </c>
      <c r="D58" s="477">
        <v>0</v>
      </c>
      <c r="E58" s="477">
        <v>103019</v>
      </c>
      <c r="F58" s="477">
        <v>0</v>
      </c>
      <c r="G58" s="477">
        <v>0</v>
      </c>
      <c r="H58" s="477">
        <v>0</v>
      </c>
      <c r="I58" s="477">
        <v>103019</v>
      </c>
    </row>
    <row r="59" spans="1:9" s="670" customFormat="1" ht="26.25" thickBot="1" x14ac:dyDescent="0.25">
      <c r="A59" s="472" t="s">
        <v>468</v>
      </c>
      <c r="B59" s="473" t="s">
        <v>469</v>
      </c>
      <c r="C59" s="474">
        <v>550000</v>
      </c>
      <c r="D59" s="474">
        <v>0</v>
      </c>
      <c r="E59" s="474">
        <v>2716188</v>
      </c>
      <c r="F59" s="474">
        <v>0</v>
      </c>
      <c r="G59" s="474">
        <v>0</v>
      </c>
      <c r="H59" s="474">
        <v>0</v>
      </c>
      <c r="I59" s="474">
        <v>3266188</v>
      </c>
    </row>
    <row r="60" spans="1:9" s="670" customFormat="1" ht="13.5" thickBot="1" x14ac:dyDescent="0.25">
      <c r="A60" s="472" t="s">
        <v>474</v>
      </c>
      <c r="B60" s="473" t="s">
        <v>475</v>
      </c>
      <c r="C60" s="474">
        <v>550000</v>
      </c>
      <c r="D60" s="474">
        <v>0</v>
      </c>
      <c r="E60" s="474">
        <v>2716188</v>
      </c>
      <c r="F60" s="474">
        <v>0</v>
      </c>
      <c r="G60" s="474">
        <v>0</v>
      </c>
      <c r="H60" s="474">
        <v>0</v>
      </c>
      <c r="I60" s="474">
        <v>3266188</v>
      </c>
    </row>
    <row r="61" spans="1:9" s="670" customFormat="1" ht="13.5" thickBot="1" x14ac:dyDescent="0.25">
      <c r="A61" s="472" t="s">
        <v>476</v>
      </c>
      <c r="B61" s="473" t="s">
        <v>477</v>
      </c>
      <c r="C61" s="474">
        <v>0</v>
      </c>
      <c r="D61" s="474">
        <v>0</v>
      </c>
      <c r="E61" s="474">
        <v>1142616</v>
      </c>
      <c r="F61" s="474">
        <v>0</v>
      </c>
      <c r="G61" s="474">
        <v>0</v>
      </c>
      <c r="H61" s="474">
        <v>0</v>
      </c>
      <c r="I61" s="474">
        <v>1142616</v>
      </c>
    </row>
    <row r="62" spans="1:9" s="670" customFormat="1" ht="13.5" thickBot="1" x14ac:dyDescent="0.25">
      <c r="A62" s="475" t="s">
        <v>478</v>
      </c>
      <c r="B62" s="476" t="s">
        <v>479</v>
      </c>
      <c r="C62" s="477">
        <v>550000</v>
      </c>
      <c r="D62" s="477">
        <v>0</v>
      </c>
      <c r="E62" s="477">
        <v>2702050</v>
      </c>
      <c r="F62" s="477">
        <v>0</v>
      </c>
      <c r="G62" s="477">
        <v>0</v>
      </c>
      <c r="H62" s="477">
        <v>0</v>
      </c>
      <c r="I62" s="477">
        <v>3252050</v>
      </c>
    </row>
    <row r="63" spans="1:9" s="670" customFormat="1" x14ac:dyDescent="0.2">
      <c r="A63" s="2024"/>
      <c r="B63" s="2025"/>
      <c r="C63" s="2025"/>
      <c r="D63" s="2025"/>
      <c r="E63" s="2025"/>
      <c r="F63" s="2025"/>
      <c r="G63" s="2025"/>
      <c r="H63" s="2025"/>
      <c r="I63" s="2026"/>
    </row>
    <row r="64" spans="1:9" ht="13.5" thickBot="1" x14ac:dyDescent="0.25">
      <c r="A64" s="2027"/>
      <c r="B64" s="2028"/>
      <c r="C64" s="2028"/>
      <c r="D64" s="2028"/>
      <c r="E64" s="2028"/>
      <c r="F64" s="2028"/>
      <c r="G64" s="2028"/>
      <c r="H64" s="2028"/>
      <c r="I64" s="2029"/>
    </row>
    <row r="65" spans="1:9" ht="13.5" thickBot="1" x14ac:dyDescent="0.25">
      <c r="A65" s="2020" t="s">
        <v>607</v>
      </c>
      <c r="B65" s="2021"/>
      <c r="C65" s="787"/>
      <c r="D65" s="787"/>
      <c r="E65" s="787"/>
      <c r="F65" s="787"/>
      <c r="G65" s="787"/>
      <c r="H65" s="787"/>
      <c r="I65" s="787"/>
    </row>
    <row r="66" spans="1:9" ht="63.75" thickBot="1" x14ac:dyDescent="0.25">
      <c r="A66" s="551"/>
      <c r="B66" s="551" t="s">
        <v>449</v>
      </c>
      <c r="C66" s="551" t="s">
        <v>450</v>
      </c>
      <c r="D66" s="551" t="s">
        <v>451</v>
      </c>
      <c r="E66" s="551" t="s">
        <v>604</v>
      </c>
      <c r="F66" s="551" t="s">
        <v>603</v>
      </c>
      <c r="G66" s="551" t="s">
        <v>452</v>
      </c>
      <c r="H66" s="551" t="s">
        <v>602</v>
      </c>
      <c r="I66" s="551" t="s">
        <v>453</v>
      </c>
    </row>
    <row r="67" spans="1:9" ht="26.25" thickBot="1" x14ac:dyDescent="0.25">
      <c r="A67" s="472" t="s">
        <v>333</v>
      </c>
      <c r="B67" s="473" t="s">
        <v>454</v>
      </c>
      <c r="C67" s="474">
        <v>0</v>
      </c>
      <c r="D67" s="474">
        <v>0</v>
      </c>
      <c r="E67" s="474">
        <v>975692</v>
      </c>
      <c r="F67" s="474">
        <v>0</v>
      </c>
      <c r="G67" s="474">
        <v>0</v>
      </c>
      <c r="H67" s="474">
        <v>0</v>
      </c>
      <c r="I67" s="474">
        <v>975692</v>
      </c>
    </row>
    <row r="68" spans="1:9" ht="26.25" thickBot="1" x14ac:dyDescent="0.25">
      <c r="A68" s="475" t="s">
        <v>335</v>
      </c>
      <c r="B68" s="476" t="s">
        <v>455</v>
      </c>
      <c r="C68" s="477">
        <v>0</v>
      </c>
      <c r="D68" s="477">
        <v>0</v>
      </c>
      <c r="E68" s="477">
        <v>0</v>
      </c>
      <c r="F68" s="477">
        <v>0</v>
      </c>
      <c r="G68" s="477">
        <v>75000</v>
      </c>
      <c r="H68" s="477">
        <v>0</v>
      </c>
      <c r="I68" s="477">
        <v>75000</v>
      </c>
    </row>
    <row r="69" spans="1:9" ht="13.5" thickBot="1" x14ac:dyDescent="0.25">
      <c r="A69" s="475" t="s">
        <v>341</v>
      </c>
      <c r="B69" s="476" t="s">
        <v>457</v>
      </c>
      <c r="C69" s="477">
        <v>0</v>
      </c>
      <c r="D69" s="477">
        <v>0</v>
      </c>
      <c r="E69" s="477">
        <v>75000</v>
      </c>
      <c r="F69" s="477">
        <v>0</v>
      </c>
      <c r="G69" s="477">
        <v>0</v>
      </c>
      <c r="H69" s="477">
        <v>0</v>
      </c>
      <c r="I69" s="477">
        <v>75000</v>
      </c>
    </row>
    <row r="70" spans="1:9" s="554" customFormat="1" ht="13.5" thickBot="1" x14ac:dyDescent="0.25">
      <c r="A70" s="475" t="s">
        <v>352</v>
      </c>
      <c r="B70" s="476" t="s">
        <v>458</v>
      </c>
      <c r="C70" s="477">
        <v>0</v>
      </c>
      <c r="D70" s="477">
        <v>0</v>
      </c>
      <c r="E70" s="477">
        <v>75000</v>
      </c>
      <c r="F70" s="477">
        <v>0</v>
      </c>
      <c r="G70" s="477">
        <v>0</v>
      </c>
      <c r="H70" s="477">
        <v>0</v>
      </c>
      <c r="I70" s="477">
        <v>75000</v>
      </c>
    </row>
    <row r="71" spans="1:9" ht="13.5" thickBot="1" x14ac:dyDescent="0.25">
      <c r="A71" s="472" t="s">
        <v>354</v>
      </c>
      <c r="B71" s="473" t="s">
        <v>601</v>
      </c>
      <c r="C71" s="474">
        <v>0</v>
      </c>
      <c r="D71" s="474">
        <v>0</v>
      </c>
      <c r="E71" s="474">
        <v>150000</v>
      </c>
      <c r="F71" s="474">
        <v>0</v>
      </c>
      <c r="G71" s="474">
        <v>75000</v>
      </c>
      <c r="H71" s="474">
        <v>0</v>
      </c>
      <c r="I71" s="474">
        <v>225000</v>
      </c>
    </row>
    <row r="72" spans="1:9" ht="13.5" thickBot="1" x14ac:dyDescent="0.25">
      <c r="A72" s="475" t="s">
        <v>460</v>
      </c>
      <c r="B72" s="476" t="s">
        <v>614</v>
      </c>
      <c r="C72" s="477">
        <v>0</v>
      </c>
      <c r="D72" s="477">
        <v>0</v>
      </c>
      <c r="E72" s="477">
        <v>232275</v>
      </c>
      <c r="F72" s="477">
        <v>0</v>
      </c>
      <c r="G72" s="477">
        <v>0</v>
      </c>
      <c r="H72" s="477">
        <v>0</v>
      </c>
      <c r="I72" s="477">
        <v>232275</v>
      </c>
    </row>
    <row r="73" spans="1:9" ht="13.5" thickBot="1" x14ac:dyDescent="0.25">
      <c r="A73" s="475" t="s">
        <v>288</v>
      </c>
      <c r="B73" s="476" t="s">
        <v>461</v>
      </c>
      <c r="C73" s="477">
        <v>0</v>
      </c>
      <c r="D73" s="477">
        <v>0</v>
      </c>
      <c r="E73" s="477">
        <v>75000</v>
      </c>
      <c r="F73" s="477">
        <v>0</v>
      </c>
      <c r="G73" s="477">
        <v>75000</v>
      </c>
      <c r="H73" s="477">
        <v>0</v>
      </c>
      <c r="I73" s="477">
        <v>150000</v>
      </c>
    </row>
    <row r="74" spans="1:9" ht="13.5" thickBot="1" x14ac:dyDescent="0.25">
      <c r="A74" s="472" t="s">
        <v>289</v>
      </c>
      <c r="B74" s="473" t="s">
        <v>462</v>
      </c>
      <c r="C74" s="474">
        <v>0</v>
      </c>
      <c r="D74" s="474">
        <v>0</v>
      </c>
      <c r="E74" s="474">
        <v>307275</v>
      </c>
      <c r="F74" s="474">
        <v>0</v>
      </c>
      <c r="G74" s="474">
        <v>75000</v>
      </c>
      <c r="H74" s="474">
        <v>0</v>
      </c>
      <c r="I74" s="474">
        <v>382275</v>
      </c>
    </row>
    <row r="75" spans="1:9" ht="13.5" thickBot="1" x14ac:dyDescent="0.25">
      <c r="A75" s="472" t="s">
        <v>290</v>
      </c>
      <c r="B75" s="473" t="s">
        <v>600</v>
      </c>
      <c r="C75" s="474">
        <v>0</v>
      </c>
      <c r="D75" s="474">
        <v>0</v>
      </c>
      <c r="E75" s="474">
        <v>818417</v>
      </c>
      <c r="F75" s="474">
        <v>0</v>
      </c>
      <c r="G75" s="474">
        <v>0</v>
      </c>
      <c r="H75" s="474">
        <v>0</v>
      </c>
      <c r="I75" s="474">
        <v>818417</v>
      </c>
    </row>
    <row r="76" spans="1:9" ht="26.25" thickBot="1" x14ac:dyDescent="0.25">
      <c r="A76" s="472" t="s">
        <v>291</v>
      </c>
      <c r="B76" s="473" t="s">
        <v>463</v>
      </c>
      <c r="C76" s="474">
        <v>0</v>
      </c>
      <c r="D76" s="474">
        <v>0</v>
      </c>
      <c r="E76" s="474">
        <v>975692</v>
      </c>
      <c r="F76" s="474">
        <v>0</v>
      </c>
      <c r="G76" s="474">
        <v>0</v>
      </c>
      <c r="H76" s="474">
        <v>0</v>
      </c>
      <c r="I76" s="474">
        <v>975692</v>
      </c>
    </row>
    <row r="77" spans="1:9" ht="13.5" thickBot="1" x14ac:dyDescent="0.25">
      <c r="A77" s="475" t="s">
        <v>464</v>
      </c>
      <c r="B77" s="476" t="s">
        <v>465</v>
      </c>
      <c r="C77" s="477">
        <v>0</v>
      </c>
      <c r="D77" s="477">
        <v>0</v>
      </c>
      <c r="E77" s="477">
        <v>75000</v>
      </c>
      <c r="F77" s="477">
        <v>0</v>
      </c>
      <c r="G77" s="477">
        <v>0</v>
      </c>
      <c r="H77" s="477">
        <v>0</v>
      </c>
      <c r="I77" s="477">
        <v>75000</v>
      </c>
    </row>
    <row r="78" spans="1:9" ht="13.5" thickBot="1" x14ac:dyDescent="0.25">
      <c r="A78" s="475" t="s">
        <v>466</v>
      </c>
      <c r="B78" s="476" t="s">
        <v>467</v>
      </c>
      <c r="C78" s="477">
        <v>0</v>
      </c>
      <c r="D78" s="477">
        <v>0</v>
      </c>
      <c r="E78" s="477">
        <v>232275</v>
      </c>
      <c r="F78" s="477">
        <v>0</v>
      </c>
      <c r="G78" s="477">
        <v>0</v>
      </c>
      <c r="H78" s="477">
        <v>0</v>
      </c>
      <c r="I78" s="477">
        <v>232275</v>
      </c>
    </row>
    <row r="79" spans="1:9" ht="26.25" thickBot="1" x14ac:dyDescent="0.25">
      <c r="A79" s="472" t="s">
        <v>468</v>
      </c>
      <c r="B79" s="473" t="s">
        <v>469</v>
      </c>
      <c r="C79" s="474">
        <v>0</v>
      </c>
      <c r="D79" s="474">
        <v>0</v>
      </c>
      <c r="E79" s="474">
        <v>818417</v>
      </c>
      <c r="F79" s="474">
        <v>0</v>
      </c>
      <c r="G79" s="474">
        <v>0</v>
      </c>
      <c r="H79" s="474">
        <v>0</v>
      </c>
      <c r="I79" s="474">
        <v>818417</v>
      </c>
    </row>
    <row r="80" spans="1:9" ht="13.5" thickBot="1" x14ac:dyDescent="0.25">
      <c r="A80" s="472" t="s">
        <v>474</v>
      </c>
      <c r="B80" s="473" t="s">
        <v>475</v>
      </c>
      <c r="C80" s="474">
        <v>0</v>
      </c>
      <c r="D80" s="474">
        <v>0</v>
      </c>
      <c r="E80" s="474">
        <v>818417</v>
      </c>
      <c r="F80" s="474">
        <v>0</v>
      </c>
      <c r="G80" s="474">
        <v>0</v>
      </c>
      <c r="H80" s="474">
        <v>0</v>
      </c>
      <c r="I80" s="474">
        <v>818417</v>
      </c>
    </row>
    <row r="81" spans="1:9" ht="13.5" thickBot="1" x14ac:dyDescent="0.25">
      <c r="A81" s="475" t="s">
        <v>478</v>
      </c>
      <c r="B81" s="476" t="s">
        <v>479</v>
      </c>
      <c r="C81" s="477">
        <v>0</v>
      </c>
      <c r="D81" s="477">
        <v>0</v>
      </c>
      <c r="E81" s="477">
        <v>818417</v>
      </c>
      <c r="F81" s="477">
        <v>0</v>
      </c>
      <c r="G81" s="477">
        <v>0</v>
      </c>
      <c r="H81" s="477">
        <v>0</v>
      </c>
      <c r="I81" s="477">
        <v>818417</v>
      </c>
    </row>
    <row r="82" spans="1:9" x14ac:dyDescent="0.2">
      <c r="A82" s="466"/>
      <c r="B82" s="466"/>
      <c r="C82" s="466"/>
      <c r="D82" s="466"/>
      <c r="E82" s="466"/>
      <c r="F82" s="466"/>
      <c r="G82" s="466"/>
      <c r="H82" s="466"/>
      <c r="I82" s="466"/>
    </row>
    <row r="83" spans="1:9" x14ac:dyDescent="0.2">
      <c r="A83" s="466"/>
      <c r="B83" s="466"/>
      <c r="C83" s="466"/>
      <c r="D83" s="466"/>
      <c r="E83" s="466"/>
      <c r="F83" s="466"/>
      <c r="G83" s="466"/>
      <c r="H83" s="466"/>
      <c r="I83" s="466"/>
    </row>
    <row r="84" spans="1:9" x14ac:dyDescent="0.2">
      <c r="A84" s="466"/>
      <c r="B84" s="466"/>
      <c r="C84" s="466"/>
      <c r="D84" s="466"/>
      <c r="E84" s="466"/>
      <c r="F84" s="466"/>
      <c r="G84" s="466"/>
      <c r="H84" s="466"/>
      <c r="I84" s="466"/>
    </row>
    <row r="85" spans="1:9" x14ac:dyDescent="0.2">
      <c r="A85" s="466"/>
      <c r="B85" s="466"/>
      <c r="C85" s="466"/>
      <c r="D85" s="466"/>
      <c r="E85" s="466"/>
      <c r="F85" s="466"/>
      <c r="G85" s="466"/>
      <c r="H85" s="466"/>
      <c r="I85" s="466"/>
    </row>
    <row r="86" spans="1:9" x14ac:dyDescent="0.2">
      <c r="A86" s="466"/>
      <c r="B86" s="466"/>
      <c r="C86" s="466"/>
      <c r="D86" s="466"/>
      <c r="E86" s="466"/>
      <c r="F86" s="466"/>
      <c r="G86" s="466"/>
      <c r="H86" s="466"/>
      <c r="I86" s="466"/>
    </row>
    <row r="87" spans="1:9" x14ac:dyDescent="0.2">
      <c r="A87" s="466"/>
      <c r="B87" s="466"/>
      <c r="C87" s="466"/>
      <c r="D87" s="466"/>
      <c r="E87" s="466"/>
      <c r="F87" s="466"/>
      <c r="G87" s="466"/>
      <c r="H87" s="466"/>
      <c r="I87" s="466"/>
    </row>
    <row r="88" spans="1:9" x14ac:dyDescent="0.2">
      <c r="A88" s="466"/>
      <c r="B88" s="466"/>
      <c r="C88" s="466"/>
      <c r="D88" s="466"/>
      <c r="E88" s="466"/>
      <c r="F88" s="466"/>
      <c r="G88" s="466"/>
      <c r="H88" s="466"/>
      <c r="I88" s="466"/>
    </row>
    <row r="89" spans="1:9" x14ac:dyDescent="0.2">
      <c r="A89" s="466"/>
      <c r="B89" s="466"/>
      <c r="C89" s="466"/>
      <c r="D89" s="466"/>
      <c r="E89" s="466"/>
      <c r="F89" s="466"/>
      <c r="G89" s="466"/>
      <c r="H89" s="466"/>
      <c r="I89" s="466"/>
    </row>
    <row r="90" spans="1:9" x14ac:dyDescent="0.2">
      <c r="A90" s="466"/>
      <c r="B90" s="466"/>
      <c r="C90" s="466"/>
      <c r="D90" s="466"/>
      <c r="E90" s="466"/>
      <c r="F90" s="466"/>
      <c r="G90" s="466"/>
      <c r="H90" s="466"/>
      <c r="I90" s="466"/>
    </row>
    <row r="91" spans="1:9" x14ac:dyDescent="0.2">
      <c r="A91" s="466"/>
      <c r="B91" s="466"/>
      <c r="C91" s="466"/>
      <c r="D91" s="466"/>
      <c r="E91" s="466"/>
      <c r="F91" s="466"/>
      <c r="G91" s="466"/>
      <c r="H91" s="466"/>
      <c r="I91" s="466"/>
    </row>
    <row r="92" spans="1:9" x14ac:dyDescent="0.2">
      <c r="A92" s="466"/>
      <c r="B92" s="466"/>
      <c r="C92" s="466"/>
      <c r="D92" s="466"/>
      <c r="E92" s="466"/>
      <c r="F92" s="466"/>
      <c r="G92" s="466"/>
      <c r="H92" s="466"/>
      <c r="I92" s="466"/>
    </row>
    <row r="93" spans="1:9" x14ac:dyDescent="0.2">
      <c r="A93" s="466"/>
      <c r="B93" s="466"/>
      <c r="C93" s="466"/>
      <c r="D93" s="466"/>
      <c r="E93" s="466"/>
      <c r="F93" s="466"/>
      <c r="G93" s="466"/>
      <c r="H93" s="466"/>
      <c r="I93" s="466"/>
    </row>
    <row r="94" spans="1:9" x14ac:dyDescent="0.2">
      <c r="A94" s="466"/>
      <c r="B94" s="466"/>
      <c r="C94" s="466"/>
      <c r="D94" s="466"/>
      <c r="E94" s="466"/>
      <c r="F94" s="466"/>
      <c r="G94" s="466"/>
      <c r="H94" s="466"/>
      <c r="I94" s="466"/>
    </row>
    <row r="95" spans="1:9" x14ac:dyDescent="0.2">
      <c r="A95" s="466"/>
      <c r="B95" s="466"/>
      <c r="C95" s="466"/>
      <c r="D95" s="466"/>
      <c r="E95" s="466"/>
      <c r="F95" s="466"/>
      <c r="G95" s="466"/>
      <c r="H95" s="466"/>
      <c r="I95" s="466"/>
    </row>
    <row r="96" spans="1:9" x14ac:dyDescent="0.2">
      <c r="A96" s="466"/>
      <c r="B96" s="466"/>
      <c r="C96" s="466"/>
      <c r="D96" s="466"/>
      <c r="E96" s="466"/>
      <c r="F96" s="466"/>
      <c r="G96" s="466"/>
      <c r="H96" s="466"/>
      <c r="I96" s="466"/>
    </row>
    <row r="97" spans="1:9" x14ac:dyDescent="0.2">
      <c r="A97" s="466"/>
      <c r="B97" s="466"/>
      <c r="C97" s="466"/>
      <c r="D97" s="466"/>
      <c r="E97" s="466"/>
      <c r="F97" s="466"/>
      <c r="G97" s="466"/>
      <c r="H97" s="466"/>
      <c r="I97" s="466"/>
    </row>
    <row r="98" spans="1:9" x14ac:dyDescent="0.2">
      <c r="A98" s="466"/>
      <c r="B98" s="466"/>
      <c r="C98" s="466"/>
      <c r="D98" s="466"/>
      <c r="E98" s="466"/>
      <c r="F98" s="466"/>
      <c r="G98" s="466"/>
      <c r="H98" s="466"/>
      <c r="I98" s="466"/>
    </row>
    <row r="99" spans="1:9" x14ac:dyDescent="0.2">
      <c r="A99" s="466"/>
      <c r="B99" s="466"/>
      <c r="C99" s="466"/>
      <c r="D99" s="466"/>
      <c r="E99" s="466"/>
      <c r="F99" s="466"/>
      <c r="G99" s="466"/>
      <c r="H99" s="466"/>
      <c r="I99" s="466"/>
    </row>
    <row r="100" spans="1:9" x14ac:dyDescent="0.2">
      <c r="A100" s="466"/>
      <c r="B100" s="466"/>
      <c r="C100" s="466"/>
      <c r="D100" s="466"/>
      <c r="E100" s="466"/>
      <c r="F100" s="466"/>
      <c r="G100" s="466"/>
      <c r="H100" s="466"/>
      <c r="I100" s="466"/>
    </row>
    <row r="101" spans="1:9" x14ac:dyDescent="0.2">
      <c r="A101" s="466"/>
      <c r="B101" s="466"/>
      <c r="C101" s="466"/>
      <c r="D101" s="466"/>
      <c r="E101" s="466"/>
      <c r="F101" s="466"/>
      <c r="G101" s="466"/>
      <c r="H101" s="466"/>
      <c r="I101" s="466"/>
    </row>
    <row r="102" spans="1:9" x14ac:dyDescent="0.2">
      <c r="A102" s="466"/>
      <c r="B102" s="466"/>
      <c r="C102" s="466"/>
      <c r="D102" s="466"/>
      <c r="E102" s="466"/>
      <c r="F102" s="466"/>
      <c r="G102" s="466"/>
      <c r="H102" s="466"/>
      <c r="I102" s="466"/>
    </row>
    <row r="103" spans="1:9" x14ac:dyDescent="0.2">
      <c r="A103" s="466"/>
      <c r="B103" s="466"/>
      <c r="C103" s="466"/>
      <c r="D103" s="466"/>
      <c r="E103" s="466"/>
      <c r="F103" s="466"/>
      <c r="G103" s="466"/>
      <c r="H103" s="466"/>
      <c r="I103" s="466"/>
    </row>
    <row r="104" spans="1:9" x14ac:dyDescent="0.2">
      <c r="A104" s="466"/>
      <c r="B104" s="466"/>
      <c r="C104" s="466"/>
      <c r="D104" s="466"/>
      <c r="E104" s="466"/>
      <c r="F104" s="466"/>
      <c r="G104" s="466"/>
      <c r="H104" s="466"/>
      <c r="I104" s="466"/>
    </row>
    <row r="105" spans="1:9" x14ac:dyDescent="0.2">
      <c r="A105" s="466"/>
      <c r="B105" s="466"/>
      <c r="C105" s="466"/>
      <c r="D105" s="466"/>
      <c r="E105" s="466"/>
      <c r="F105" s="466"/>
      <c r="G105" s="466"/>
      <c r="H105" s="466"/>
      <c r="I105" s="466"/>
    </row>
    <row r="106" spans="1:9" x14ac:dyDescent="0.2">
      <c r="A106" s="466"/>
      <c r="B106" s="466"/>
      <c r="C106" s="466"/>
      <c r="D106" s="466"/>
      <c r="E106" s="466"/>
      <c r="F106" s="466"/>
      <c r="G106" s="466"/>
      <c r="H106" s="466"/>
      <c r="I106" s="466"/>
    </row>
    <row r="107" spans="1:9" x14ac:dyDescent="0.2">
      <c r="A107" s="466"/>
      <c r="B107" s="466"/>
      <c r="C107" s="466"/>
      <c r="D107" s="466"/>
      <c r="E107" s="466"/>
      <c r="F107" s="466"/>
      <c r="G107" s="466"/>
      <c r="H107" s="466"/>
      <c r="I107" s="466"/>
    </row>
    <row r="108" spans="1:9" x14ac:dyDescent="0.2">
      <c r="A108" s="466"/>
      <c r="B108" s="466"/>
      <c r="C108" s="466"/>
      <c r="D108" s="466"/>
      <c r="E108" s="466"/>
      <c r="F108" s="466"/>
      <c r="G108" s="466"/>
      <c r="H108" s="466"/>
      <c r="I108" s="466"/>
    </row>
    <row r="109" spans="1:9" x14ac:dyDescent="0.2">
      <c r="A109" s="466"/>
      <c r="B109" s="466"/>
      <c r="C109" s="466"/>
      <c r="D109" s="466"/>
      <c r="E109" s="466"/>
      <c r="F109" s="466"/>
      <c r="G109" s="466"/>
      <c r="H109" s="466"/>
      <c r="I109" s="466"/>
    </row>
    <row r="110" spans="1:9" x14ac:dyDescent="0.2">
      <c r="A110" s="466"/>
      <c r="B110" s="466"/>
      <c r="C110" s="466"/>
      <c r="D110" s="466"/>
      <c r="E110" s="466"/>
      <c r="F110" s="466"/>
      <c r="G110" s="466"/>
      <c r="H110" s="466"/>
      <c r="I110" s="466"/>
    </row>
    <row r="111" spans="1:9" x14ac:dyDescent="0.2">
      <c r="A111" s="466"/>
      <c r="B111" s="466"/>
      <c r="C111" s="466"/>
      <c r="D111" s="466"/>
      <c r="E111" s="466"/>
      <c r="F111" s="466"/>
      <c r="G111" s="466"/>
      <c r="H111" s="466"/>
      <c r="I111" s="466"/>
    </row>
    <row r="112" spans="1:9" x14ac:dyDescent="0.2">
      <c r="A112" s="466"/>
      <c r="B112" s="466"/>
      <c r="C112" s="466"/>
      <c r="D112" s="466"/>
      <c r="E112" s="466"/>
      <c r="F112" s="466"/>
      <c r="G112" s="466"/>
      <c r="H112" s="466"/>
      <c r="I112" s="466"/>
    </row>
    <row r="113" spans="1:9" x14ac:dyDescent="0.2">
      <c r="A113" s="466"/>
      <c r="B113" s="466"/>
      <c r="C113" s="466"/>
      <c r="D113" s="466"/>
      <c r="E113" s="466"/>
      <c r="F113" s="466"/>
      <c r="G113" s="466"/>
      <c r="H113" s="466"/>
      <c r="I113" s="466"/>
    </row>
    <row r="114" spans="1:9" x14ac:dyDescent="0.2">
      <c r="A114" s="466"/>
      <c r="B114" s="466"/>
      <c r="C114" s="466"/>
      <c r="D114" s="466"/>
      <c r="E114" s="466"/>
      <c r="F114" s="466"/>
      <c r="G114" s="466"/>
      <c r="H114" s="466"/>
      <c r="I114" s="466"/>
    </row>
    <row r="115" spans="1:9" x14ac:dyDescent="0.2">
      <c r="A115" s="466"/>
      <c r="B115" s="466"/>
      <c r="C115" s="466"/>
      <c r="D115" s="466"/>
      <c r="E115" s="466"/>
      <c r="F115" s="466"/>
      <c r="G115" s="466"/>
      <c r="H115" s="466"/>
      <c r="I115" s="466"/>
    </row>
    <row r="116" spans="1:9" x14ac:dyDescent="0.2">
      <c r="A116" s="466"/>
      <c r="B116" s="466"/>
      <c r="C116" s="466"/>
      <c r="D116" s="466"/>
      <c r="E116" s="466"/>
      <c r="F116" s="466"/>
      <c r="G116" s="466"/>
      <c r="H116" s="466"/>
      <c r="I116" s="466"/>
    </row>
    <row r="117" spans="1:9" x14ac:dyDescent="0.2">
      <c r="A117" s="466"/>
      <c r="B117" s="466"/>
      <c r="C117" s="466"/>
      <c r="D117" s="466"/>
      <c r="E117" s="466"/>
      <c r="F117" s="466"/>
      <c r="G117" s="466"/>
      <c r="H117" s="466"/>
      <c r="I117" s="466"/>
    </row>
    <row r="118" spans="1:9" x14ac:dyDescent="0.2">
      <c r="A118" s="466"/>
      <c r="B118" s="466"/>
      <c r="C118" s="466"/>
      <c r="D118" s="466"/>
      <c r="E118" s="466"/>
      <c r="F118" s="466"/>
      <c r="G118" s="466"/>
      <c r="H118" s="466"/>
      <c r="I118" s="466"/>
    </row>
    <row r="119" spans="1:9" x14ac:dyDescent="0.2">
      <c r="A119" s="466"/>
      <c r="B119" s="466"/>
      <c r="C119" s="466"/>
      <c r="D119" s="466"/>
      <c r="E119" s="466"/>
      <c r="F119" s="466"/>
      <c r="G119" s="466"/>
      <c r="H119" s="466"/>
      <c r="I119" s="466"/>
    </row>
    <row r="120" spans="1:9" x14ac:dyDescent="0.2">
      <c r="A120" s="466"/>
      <c r="B120" s="466"/>
      <c r="C120" s="466"/>
      <c r="D120" s="466"/>
      <c r="E120" s="466"/>
      <c r="F120" s="466"/>
      <c r="G120" s="466"/>
      <c r="H120" s="466"/>
      <c r="I120" s="466"/>
    </row>
    <row r="121" spans="1:9" x14ac:dyDescent="0.2">
      <c r="A121" s="466"/>
      <c r="B121" s="466"/>
      <c r="C121" s="466"/>
      <c r="D121" s="466"/>
      <c r="E121" s="466"/>
      <c r="F121" s="466"/>
      <c r="G121" s="466"/>
      <c r="H121" s="466"/>
      <c r="I121" s="466"/>
    </row>
    <row r="122" spans="1:9" x14ac:dyDescent="0.2">
      <c r="A122" s="466"/>
      <c r="B122" s="466"/>
      <c r="C122" s="466"/>
      <c r="D122" s="466"/>
      <c r="E122" s="466"/>
      <c r="F122" s="466"/>
      <c r="G122" s="466"/>
      <c r="H122" s="466"/>
      <c r="I122" s="466"/>
    </row>
    <row r="123" spans="1:9" x14ac:dyDescent="0.2">
      <c r="A123" s="466"/>
      <c r="B123" s="466"/>
      <c r="C123" s="466"/>
      <c r="D123" s="466"/>
      <c r="E123" s="466"/>
      <c r="F123" s="466"/>
      <c r="G123" s="466"/>
      <c r="H123" s="466"/>
      <c r="I123" s="466"/>
    </row>
    <row r="124" spans="1:9" x14ac:dyDescent="0.2">
      <c r="A124" s="466"/>
      <c r="B124" s="466"/>
      <c r="C124" s="466"/>
      <c r="D124" s="466"/>
      <c r="E124" s="466"/>
      <c r="F124" s="466"/>
      <c r="G124" s="466"/>
      <c r="H124" s="466"/>
      <c r="I124" s="466"/>
    </row>
    <row r="125" spans="1:9" x14ac:dyDescent="0.2">
      <c r="A125" s="466"/>
      <c r="B125" s="466"/>
      <c r="C125" s="466"/>
      <c r="D125" s="466"/>
      <c r="E125" s="466"/>
      <c r="F125" s="466"/>
      <c r="G125" s="466"/>
      <c r="H125" s="466"/>
      <c r="I125" s="466"/>
    </row>
    <row r="126" spans="1:9" x14ac:dyDescent="0.2">
      <c r="A126" s="466"/>
      <c r="B126" s="466"/>
      <c r="C126" s="466"/>
      <c r="D126" s="466"/>
      <c r="E126" s="466"/>
      <c r="F126" s="466"/>
      <c r="G126" s="466"/>
      <c r="H126" s="466"/>
      <c r="I126" s="466"/>
    </row>
    <row r="127" spans="1:9" x14ac:dyDescent="0.2">
      <c r="A127" s="466"/>
      <c r="B127" s="466"/>
      <c r="C127" s="466"/>
      <c r="D127" s="466"/>
      <c r="E127" s="466"/>
      <c r="F127" s="466"/>
      <c r="G127" s="466"/>
      <c r="H127" s="466"/>
      <c r="I127" s="466"/>
    </row>
    <row r="128" spans="1:9" x14ac:dyDescent="0.2">
      <c r="A128" s="466"/>
      <c r="B128" s="466"/>
      <c r="C128" s="466"/>
      <c r="D128" s="466"/>
      <c r="E128" s="466"/>
      <c r="F128" s="466"/>
      <c r="G128" s="466"/>
      <c r="H128" s="466"/>
      <c r="I128" s="466"/>
    </row>
    <row r="129" spans="1:9" x14ac:dyDescent="0.2">
      <c r="A129" s="466"/>
      <c r="B129" s="466"/>
      <c r="C129" s="466"/>
      <c r="D129" s="466"/>
      <c r="E129" s="466"/>
      <c r="F129" s="466"/>
      <c r="G129" s="466"/>
      <c r="H129" s="466"/>
      <c r="I129" s="466"/>
    </row>
    <row r="130" spans="1:9" x14ac:dyDescent="0.2">
      <c r="A130" s="466"/>
      <c r="B130" s="466"/>
      <c r="C130" s="466"/>
      <c r="D130" s="466"/>
      <c r="E130" s="466"/>
      <c r="F130" s="466"/>
      <c r="G130" s="466"/>
      <c r="H130" s="466"/>
      <c r="I130" s="466"/>
    </row>
    <row r="131" spans="1:9" x14ac:dyDescent="0.2">
      <c r="A131" s="466"/>
      <c r="B131" s="466"/>
      <c r="C131" s="466"/>
      <c r="D131" s="466"/>
      <c r="E131" s="466"/>
      <c r="F131" s="466"/>
      <c r="G131" s="466"/>
      <c r="H131" s="466"/>
      <c r="I131" s="466"/>
    </row>
    <row r="132" spans="1:9" x14ac:dyDescent="0.2">
      <c r="A132" s="466"/>
      <c r="B132" s="466"/>
      <c r="C132" s="466"/>
      <c r="D132" s="466"/>
      <c r="E132" s="466"/>
      <c r="F132" s="466"/>
      <c r="G132" s="466"/>
      <c r="H132" s="466"/>
      <c r="I132" s="466"/>
    </row>
    <row r="133" spans="1:9" x14ac:dyDescent="0.2">
      <c r="A133" s="466"/>
      <c r="B133" s="466"/>
      <c r="C133" s="466"/>
      <c r="D133" s="466"/>
      <c r="E133" s="466"/>
      <c r="F133" s="466"/>
      <c r="G133" s="466"/>
      <c r="H133" s="466"/>
      <c r="I133" s="466"/>
    </row>
    <row r="134" spans="1:9" x14ac:dyDescent="0.2">
      <c r="A134" s="466"/>
      <c r="B134" s="466"/>
      <c r="C134" s="466"/>
      <c r="D134" s="466"/>
      <c r="E134" s="466"/>
      <c r="F134" s="466"/>
      <c r="G134" s="466"/>
      <c r="H134" s="466"/>
      <c r="I134" s="466"/>
    </row>
    <row r="135" spans="1:9" x14ac:dyDescent="0.2">
      <c r="A135" s="466"/>
      <c r="B135" s="466"/>
      <c r="C135" s="466"/>
      <c r="D135" s="466"/>
      <c r="E135" s="466"/>
      <c r="F135" s="466"/>
      <c r="G135" s="466"/>
      <c r="H135" s="466"/>
      <c r="I135" s="466"/>
    </row>
    <row r="136" spans="1:9" x14ac:dyDescent="0.2">
      <c r="A136" s="466"/>
      <c r="B136" s="466"/>
      <c r="C136" s="466"/>
      <c r="D136" s="466"/>
      <c r="E136" s="466"/>
      <c r="F136" s="466"/>
      <c r="G136" s="466"/>
      <c r="H136" s="466"/>
      <c r="I136" s="466"/>
    </row>
    <row r="137" spans="1:9" x14ac:dyDescent="0.2">
      <c r="A137" s="466"/>
      <c r="B137" s="466"/>
      <c r="C137" s="466"/>
      <c r="D137" s="466"/>
      <c r="E137" s="466"/>
      <c r="F137" s="466"/>
      <c r="G137" s="466"/>
      <c r="H137" s="466"/>
      <c r="I137" s="466"/>
    </row>
    <row r="138" spans="1:9" x14ac:dyDescent="0.2">
      <c r="A138" s="466"/>
      <c r="B138" s="466"/>
      <c r="C138" s="466"/>
      <c r="D138" s="466"/>
      <c r="E138" s="466"/>
      <c r="F138" s="466"/>
      <c r="G138" s="466"/>
      <c r="H138" s="466"/>
      <c r="I138" s="466"/>
    </row>
    <row r="139" spans="1:9" x14ac:dyDescent="0.2">
      <c r="A139" s="466"/>
      <c r="B139" s="466"/>
      <c r="C139" s="466"/>
      <c r="D139" s="466"/>
      <c r="E139" s="466"/>
      <c r="F139" s="466"/>
      <c r="G139" s="466"/>
      <c r="H139" s="466"/>
      <c r="I139" s="466"/>
    </row>
    <row r="140" spans="1:9" x14ac:dyDescent="0.2">
      <c r="A140" s="466"/>
      <c r="B140" s="466"/>
      <c r="C140" s="466"/>
      <c r="D140" s="466"/>
      <c r="E140" s="466"/>
      <c r="F140" s="466"/>
      <c r="G140" s="466"/>
      <c r="H140" s="466"/>
      <c r="I140" s="466"/>
    </row>
    <row r="141" spans="1:9" x14ac:dyDescent="0.2">
      <c r="A141" s="466"/>
      <c r="B141" s="466"/>
      <c r="C141" s="466"/>
      <c r="D141" s="466"/>
      <c r="E141" s="466"/>
      <c r="F141" s="466"/>
      <c r="G141" s="466"/>
      <c r="H141" s="466"/>
      <c r="I141" s="466"/>
    </row>
    <row r="142" spans="1:9" x14ac:dyDescent="0.2">
      <c r="A142" s="466"/>
      <c r="B142" s="466"/>
      <c r="C142" s="466"/>
      <c r="D142" s="466"/>
      <c r="E142" s="466"/>
      <c r="F142" s="466"/>
      <c r="G142" s="466"/>
      <c r="H142" s="466"/>
      <c r="I142" s="466"/>
    </row>
    <row r="143" spans="1:9" x14ac:dyDescent="0.2">
      <c r="A143" s="466"/>
      <c r="B143" s="466"/>
      <c r="C143" s="466"/>
      <c r="D143" s="466"/>
      <c r="E143" s="466"/>
      <c r="F143" s="466"/>
      <c r="G143" s="466"/>
      <c r="H143" s="466"/>
      <c r="I143" s="466"/>
    </row>
    <row r="144" spans="1:9" x14ac:dyDescent="0.2">
      <c r="A144" s="466"/>
      <c r="B144" s="466"/>
      <c r="C144" s="466"/>
      <c r="D144" s="466"/>
      <c r="E144" s="466"/>
      <c r="F144" s="466"/>
      <c r="G144" s="466"/>
      <c r="H144" s="466"/>
      <c r="I144" s="466"/>
    </row>
    <row r="145" spans="1:9" x14ac:dyDescent="0.2">
      <c r="A145" s="466"/>
      <c r="B145" s="466"/>
      <c r="C145" s="466"/>
      <c r="D145" s="466"/>
      <c r="E145" s="466"/>
      <c r="F145" s="466"/>
      <c r="G145" s="466"/>
      <c r="H145" s="466"/>
      <c r="I145" s="466"/>
    </row>
    <row r="146" spans="1:9" x14ac:dyDescent="0.2">
      <c r="A146" s="466"/>
      <c r="B146" s="466"/>
      <c r="C146" s="466"/>
      <c r="D146" s="466"/>
      <c r="E146" s="466"/>
      <c r="F146" s="466"/>
      <c r="G146" s="466"/>
      <c r="H146" s="466"/>
      <c r="I146" s="466"/>
    </row>
    <row r="147" spans="1:9" x14ac:dyDescent="0.2">
      <c r="A147" s="466"/>
      <c r="B147" s="466"/>
      <c r="C147" s="466"/>
      <c r="D147" s="466"/>
      <c r="E147" s="466"/>
      <c r="F147" s="466"/>
      <c r="G147" s="466"/>
      <c r="H147" s="466"/>
      <c r="I147" s="466"/>
    </row>
    <row r="148" spans="1:9" x14ac:dyDescent="0.2">
      <c r="A148" s="466"/>
      <c r="B148" s="466"/>
      <c r="C148" s="466"/>
      <c r="D148" s="466"/>
      <c r="E148" s="466"/>
      <c r="F148" s="466"/>
      <c r="G148" s="466"/>
      <c r="H148" s="466"/>
      <c r="I148" s="466"/>
    </row>
    <row r="149" spans="1:9" x14ac:dyDescent="0.2">
      <c r="A149" s="466"/>
      <c r="B149" s="466"/>
      <c r="C149" s="466"/>
      <c r="D149" s="466"/>
      <c r="E149" s="466"/>
      <c r="F149" s="466"/>
      <c r="G149" s="466"/>
      <c r="H149" s="466"/>
      <c r="I149" s="466"/>
    </row>
    <row r="150" spans="1:9" x14ac:dyDescent="0.2">
      <c r="A150" s="466"/>
      <c r="B150" s="466"/>
      <c r="C150" s="466"/>
      <c r="D150" s="466"/>
      <c r="E150" s="466"/>
      <c r="F150" s="466"/>
      <c r="G150" s="466"/>
      <c r="H150" s="466"/>
      <c r="I150" s="466"/>
    </row>
    <row r="151" spans="1:9" x14ac:dyDescent="0.2">
      <c r="A151" s="466"/>
      <c r="B151" s="466"/>
      <c r="C151" s="466"/>
      <c r="D151" s="466"/>
      <c r="E151" s="466"/>
      <c r="F151" s="466"/>
      <c r="G151" s="466"/>
      <c r="H151" s="466"/>
      <c r="I151" s="466"/>
    </row>
    <row r="152" spans="1:9" x14ac:dyDescent="0.2">
      <c r="A152" s="466"/>
      <c r="B152" s="466"/>
      <c r="C152" s="466"/>
      <c r="D152" s="466"/>
      <c r="E152" s="466"/>
      <c r="F152" s="466"/>
      <c r="G152" s="466"/>
      <c r="H152" s="466"/>
      <c r="I152" s="466"/>
    </row>
    <row r="153" spans="1:9" x14ac:dyDescent="0.2">
      <c r="A153" s="466"/>
      <c r="B153" s="466"/>
      <c r="C153" s="466"/>
      <c r="D153" s="466"/>
      <c r="E153" s="466"/>
      <c r="F153" s="466"/>
      <c r="G153" s="466"/>
      <c r="H153" s="466"/>
      <c r="I153" s="466"/>
    </row>
    <row r="154" spans="1:9" x14ac:dyDescent="0.2">
      <c r="A154" s="466"/>
      <c r="B154" s="466"/>
      <c r="C154" s="466"/>
      <c r="D154" s="466"/>
      <c r="E154" s="466"/>
      <c r="F154" s="466"/>
      <c r="G154" s="466"/>
      <c r="H154" s="466"/>
      <c r="I154" s="466"/>
    </row>
    <row r="155" spans="1:9" x14ac:dyDescent="0.2">
      <c r="A155" s="466"/>
      <c r="B155" s="466"/>
      <c r="C155" s="466"/>
      <c r="D155" s="466"/>
      <c r="E155" s="466"/>
      <c r="F155" s="466"/>
      <c r="G155" s="466"/>
      <c r="H155" s="466"/>
      <c r="I155" s="466"/>
    </row>
    <row r="156" spans="1:9" x14ac:dyDescent="0.2">
      <c r="A156" s="466"/>
      <c r="B156" s="466"/>
      <c r="C156" s="466"/>
      <c r="D156" s="466"/>
      <c r="E156" s="466"/>
      <c r="F156" s="466"/>
      <c r="G156" s="466"/>
      <c r="H156" s="466"/>
      <c r="I156" s="466"/>
    </row>
    <row r="157" spans="1:9" x14ac:dyDescent="0.2">
      <c r="A157" s="466"/>
      <c r="B157" s="466"/>
      <c r="C157" s="466"/>
      <c r="D157" s="466"/>
      <c r="E157" s="466"/>
      <c r="F157" s="466"/>
      <c r="G157" s="466"/>
      <c r="H157" s="466"/>
      <c r="I157" s="466"/>
    </row>
    <row r="158" spans="1:9" x14ac:dyDescent="0.2">
      <c r="A158" s="466"/>
      <c r="B158" s="466"/>
      <c r="C158" s="466"/>
      <c r="D158" s="466"/>
      <c r="E158" s="466"/>
      <c r="F158" s="466"/>
      <c r="G158" s="466"/>
      <c r="H158" s="466"/>
      <c r="I158" s="466"/>
    </row>
    <row r="159" spans="1:9" x14ac:dyDescent="0.2">
      <c r="A159" s="466"/>
      <c r="B159" s="466"/>
      <c r="C159" s="466"/>
      <c r="D159" s="466"/>
      <c r="E159" s="466"/>
      <c r="F159" s="466"/>
      <c r="G159" s="466"/>
      <c r="H159" s="466"/>
      <c r="I159" s="466"/>
    </row>
    <row r="160" spans="1:9" x14ac:dyDescent="0.2">
      <c r="A160" s="466"/>
      <c r="B160" s="466"/>
      <c r="C160" s="466"/>
      <c r="D160" s="466"/>
      <c r="E160" s="466"/>
      <c r="F160" s="466"/>
      <c r="G160" s="466"/>
      <c r="H160" s="466"/>
      <c r="I160" s="466"/>
    </row>
    <row r="161" spans="1:9" x14ac:dyDescent="0.2">
      <c r="A161" s="466"/>
      <c r="B161" s="466"/>
      <c r="C161" s="466"/>
      <c r="D161" s="466"/>
      <c r="E161" s="466"/>
      <c r="F161" s="466"/>
      <c r="G161" s="466"/>
      <c r="H161" s="466"/>
      <c r="I161" s="466"/>
    </row>
    <row r="162" spans="1:9" x14ac:dyDescent="0.2">
      <c r="A162" s="466"/>
      <c r="B162" s="466"/>
      <c r="C162" s="466"/>
      <c r="D162" s="466"/>
      <c r="E162" s="466"/>
      <c r="F162" s="466"/>
      <c r="G162" s="466"/>
      <c r="H162" s="466"/>
      <c r="I162" s="466"/>
    </row>
    <row r="163" spans="1:9" x14ac:dyDescent="0.2">
      <c r="A163" s="466"/>
      <c r="B163" s="466"/>
      <c r="C163" s="466"/>
      <c r="D163" s="466"/>
      <c r="E163" s="466"/>
      <c r="F163" s="466"/>
      <c r="G163" s="466"/>
      <c r="H163" s="466"/>
      <c r="I163" s="466"/>
    </row>
    <row r="164" spans="1:9" x14ac:dyDescent="0.2">
      <c r="A164" s="466"/>
      <c r="B164" s="466"/>
      <c r="C164" s="466"/>
      <c r="D164" s="466"/>
      <c r="E164" s="466"/>
      <c r="F164" s="466"/>
      <c r="G164" s="466"/>
      <c r="H164" s="466"/>
      <c r="I164" s="466"/>
    </row>
    <row r="165" spans="1:9" x14ac:dyDescent="0.2">
      <c r="A165" s="466"/>
      <c r="B165" s="466"/>
      <c r="C165" s="466"/>
      <c r="D165" s="466"/>
      <c r="E165" s="466"/>
      <c r="F165" s="466"/>
      <c r="G165" s="466"/>
      <c r="H165" s="466"/>
      <c r="I165" s="466"/>
    </row>
    <row r="166" spans="1:9" x14ac:dyDescent="0.2">
      <c r="A166" s="466"/>
      <c r="B166" s="466"/>
      <c r="C166" s="466"/>
      <c r="D166" s="466"/>
      <c r="E166" s="466"/>
      <c r="F166" s="466"/>
      <c r="G166" s="466"/>
      <c r="H166" s="466"/>
      <c r="I166" s="466"/>
    </row>
    <row r="167" spans="1:9" x14ac:dyDescent="0.2">
      <c r="A167" s="466"/>
      <c r="B167" s="466"/>
      <c r="C167" s="466"/>
      <c r="D167" s="466"/>
      <c r="E167" s="466"/>
      <c r="F167" s="466"/>
      <c r="G167" s="466"/>
      <c r="H167" s="466"/>
      <c r="I167" s="466"/>
    </row>
    <row r="168" spans="1:9" x14ac:dyDescent="0.2">
      <c r="A168" s="466"/>
      <c r="B168" s="466"/>
      <c r="C168" s="466"/>
      <c r="D168" s="466"/>
      <c r="E168" s="466"/>
      <c r="F168" s="466"/>
      <c r="G168" s="466"/>
      <c r="H168" s="466"/>
      <c r="I168" s="466"/>
    </row>
    <row r="169" spans="1:9" x14ac:dyDescent="0.2">
      <c r="A169" s="466"/>
      <c r="B169" s="466"/>
      <c r="C169" s="466"/>
      <c r="D169" s="466"/>
      <c r="E169" s="466"/>
      <c r="F169" s="466"/>
      <c r="G169" s="466"/>
      <c r="H169" s="466"/>
      <c r="I169" s="466"/>
    </row>
    <row r="170" spans="1:9" x14ac:dyDescent="0.2">
      <c r="A170" s="466"/>
      <c r="B170" s="466"/>
      <c r="C170" s="466"/>
      <c r="D170" s="466"/>
      <c r="E170" s="466"/>
      <c r="F170" s="466"/>
      <c r="G170" s="466"/>
      <c r="H170" s="466"/>
      <c r="I170" s="466"/>
    </row>
  </sheetData>
  <mergeCells count="6">
    <mergeCell ref="A65:B65"/>
    <mergeCell ref="A1:I3"/>
    <mergeCell ref="A4:C4"/>
    <mergeCell ref="A26:B26"/>
    <mergeCell ref="A45:C45"/>
    <mergeCell ref="A63:I64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-80-72-57-a6033-23-27-35232e7940-7f-4c7d68-1b-32-4d&amp;R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selection activeCell="X7" sqref="X7"/>
    </sheetView>
  </sheetViews>
  <sheetFormatPr defaultRowHeight="12.75" x14ac:dyDescent="0.2"/>
  <cols>
    <col min="1" max="1" width="10.28515625" customWidth="1"/>
    <col min="2" max="2" width="4.85546875" hidden="1" customWidth="1"/>
    <col min="3" max="3" width="8.42578125" hidden="1" customWidth="1"/>
    <col min="9" max="9" width="7.42578125" customWidth="1"/>
    <col min="10" max="10" width="9.140625" hidden="1" customWidth="1"/>
    <col min="11" max="11" width="1.28515625" hidden="1" customWidth="1"/>
    <col min="12" max="23" width="9.140625" hidden="1" customWidth="1"/>
    <col min="24" max="24" width="14.7109375" style="12" customWidth="1"/>
    <col min="25" max="25" width="18.140625" style="12" customWidth="1"/>
    <col min="26" max="26" width="18.140625" style="669" customWidth="1"/>
    <col min="27" max="27" width="13.5703125" customWidth="1"/>
    <col min="28" max="28" width="13.5703125" style="12" customWidth="1"/>
    <col min="29" max="29" width="11.7109375" style="12" customWidth="1"/>
    <col min="30" max="30" width="13.5703125" style="669" customWidth="1"/>
    <col min="31" max="31" width="17" style="466" customWidth="1"/>
    <col min="32" max="32" width="0" hidden="1" customWidth="1"/>
    <col min="33" max="33" width="10.85546875" customWidth="1"/>
    <col min="34" max="34" width="11.140625" customWidth="1"/>
  </cols>
  <sheetData>
    <row r="1" spans="1:34" x14ac:dyDescent="0.2">
      <c r="A1" s="2038"/>
      <c r="B1" s="2038"/>
      <c r="C1" s="2038"/>
      <c r="D1" s="2038"/>
      <c r="E1" s="2038"/>
      <c r="F1" s="2038"/>
      <c r="G1" s="2038"/>
      <c r="H1" s="2038"/>
      <c r="I1" s="2038"/>
      <c r="J1" s="2038"/>
      <c r="K1" s="2038"/>
      <c r="L1" s="2038"/>
      <c r="M1" s="2038"/>
      <c r="N1" s="2038"/>
      <c r="O1" s="2038"/>
      <c r="P1" s="2038"/>
      <c r="Q1" s="2038"/>
      <c r="R1" s="2038"/>
      <c r="S1" s="2038"/>
      <c r="T1" s="2038"/>
      <c r="U1" s="2038"/>
      <c r="V1" s="2038"/>
      <c r="W1" s="2038"/>
      <c r="X1" s="2038"/>
      <c r="Y1" s="2038"/>
      <c r="Z1" s="2038"/>
      <c r="AA1" s="2038"/>
      <c r="AB1" s="2038"/>
      <c r="AC1" s="2038"/>
      <c r="AD1" s="2038"/>
      <c r="AE1" s="2038"/>
      <c r="AF1" s="2038"/>
      <c r="AG1" s="2038"/>
      <c r="AH1" s="2038"/>
    </row>
    <row r="2" spans="1:34" ht="45" customHeight="1" x14ac:dyDescent="0.2">
      <c r="A2" s="2039" t="s">
        <v>369</v>
      </c>
      <c r="B2" s="2039"/>
      <c r="C2" s="2039"/>
      <c r="D2" s="2039"/>
      <c r="E2" s="2039"/>
      <c r="F2" s="2039"/>
      <c r="G2" s="2039"/>
      <c r="H2" s="2039"/>
      <c r="I2" s="2039"/>
      <c r="J2" s="2039"/>
      <c r="K2" s="2039"/>
      <c r="L2" s="2039"/>
      <c r="M2" s="2039"/>
      <c r="N2" s="2039"/>
      <c r="O2" s="2039"/>
      <c r="P2" s="2039"/>
      <c r="Q2" s="2039"/>
      <c r="R2" s="2039"/>
      <c r="S2" s="2039"/>
      <c r="T2" s="2039"/>
      <c r="U2" s="2039"/>
      <c r="V2" s="2039"/>
      <c r="W2" s="2039"/>
      <c r="X2" s="2039"/>
      <c r="Y2" s="2039"/>
      <c r="Z2" s="2039"/>
      <c r="AA2" s="2039"/>
      <c r="AB2" s="2039"/>
      <c r="AC2" s="2039"/>
      <c r="AD2" s="2039"/>
      <c r="AE2" s="2039"/>
      <c r="AF2" s="2039"/>
      <c r="AG2" s="2039"/>
      <c r="AH2" s="2039"/>
    </row>
    <row r="3" spans="1:34" ht="12.75" customHeight="1" x14ac:dyDescent="0.2">
      <c r="A3" s="2040" t="s">
        <v>480</v>
      </c>
      <c r="B3" s="2040"/>
      <c r="C3" s="2040"/>
      <c r="D3" s="2041" t="s">
        <v>449</v>
      </c>
      <c r="E3" s="2041"/>
      <c r="F3" s="2041"/>
      <c r="G3" s="2041"/>
      <c r="H3" s="2041"/>
      <c r="I3" s="2041"/>
      <c r="J3" s="2041"/>
      <c r="K3" s="2041"/>
      <c r="L3" s="2041"/>
      <c r="M3" s="2041"/>
      <c r="N3" s="2041"/>
      <c r="O3" s="2041"/>
      <c r="P3" s="2041"/>
      <c r="Q3" s="2041"/>
      <c r="R3" s="2041"/>
      <c r="S3" s="2041"/>
      <c r="T3" s="2041"/>
      <c r="U3" s="2041"/>
      <c r="V3" s="2041"/>
      <c r="W3" s="2041"/>
      <c r="X3" s="2037" t="s">
        <v>208</v>
      </c>
      <c r="Y3" s="2037"/>
      <c r="Z3" s="2037" t="s">
        <v>207</v>
      </c>
      <c r="AA3" s="2037"/>
      <c r="AB3" s="2037" t="s">
        <v>481</v>
      </c>
      <c r="AC3" s="2037"/>
      <c r="AD3" s="2037" t="s">
        <v>189</v>
      </c>
      <c r="AE3" s="2037"/>
      <c r="AF3" s="2042" t="s">
        <v>482</v>
      </c>
      <c r="AG3" s="2042"/>
      <c r="AH3" s="2042"/>
    </row>
    <row r="4" spans="1:34" ht="27" customHeight="1" x14ac:dyDescent="0.2">
      <c r="A4" s="2040"/>
      <c r="B4" s="2040"/>
      <c r="C4" s="2040"/>
      <c r="D4" s="2041"/>
      <c r="E4" s="2041"/>
      <c r="F4" s="2041"/>
      <c r="G4" s="2041"/>
      <c r="H4" s="2041"/>
      <c r="I4" s="2041"/>
      <c r="J4" s="2041"/>
      <c r="K4" s="2041"/>
      <c r="L4" s="2041"/>
      <c r="M4" s="2041"/>
      <c r="N4" s="2041"/>
      <c r="O4" s="2041"/>
      <c r="P4" s="2041"/>
      <c r="Q4" s="2041"/>
      <c r="R4" s="2041"/>
      <c r="S4" s="2041"/>
      <c r="T4" s="2041"/>
      <c r="U4" s="2041"/>
      <c r="V4" s="2041"/>
      <c r="W4" s="2041"/>
      <c r="X4" s="2037"/>
      <c r="Y4" s="2037"/>
      <c r="Z4" s="2037"/>
      <c r="AA4" s="2037"/>
      <c r="AB4" s="2037"/>
      <c r="AC4" s="2037"/>
      <c r="AD4" s="2037"/>
      <c r="AE4" s="2037"/>
      <c r="AF4" s="2042"/>
      <c r="AG4" s="2042"/>
      <c r="AH4" s="2042"/>
    </row>
    <row r="5" spans="1:34" s="670" customFormat="1" ht="27" customHeight="1" x14ac:dyDescent="0.2">
      <c r="A5" s="826"/>
      <c r="B5" s="826"/>
      <c r="C5" s="826"/>
      <c r="D5" s="2043"/>
      <c r="E5" s="2044"/>
      <c r="F5" s="2044"/>
      <c r="G5" s="2044"/>
      <c r="H5" s="2044"/>
      <c r="I5" s="2045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1" t="s">
        <v>615</v>
      </c>
      <c r="Y5" s="789" t="s">
        <v>616</v>
      </c>
      <c r="Z5" s="822" t="s">
        <v>615</v>
      </c>
      <c r="AA5" s="710" t="s">
        <v>616</v>
      </c>
      <c r="AB5" s="821" t="s">
        <v>615</v>
      </c>
      <c r="AC5" s="789" t="s">
        <v>616</v>
      </c>
      <c r="AD5" s="822" t="s">
        <v>615</v>
      </c>
      <c r="AE5" s="710" t="s">
        <v>616</v>
      </c>
      <c r="AF5" s="710">
        <f t="shared" ref="AF5" si="0">SUM(Y5:AE5)</f>
        <v>0</v>
      </c>
      <c r="AG5" s="710"/>
      <c r="AH5" s="710"/>
    </row>
    <row r="6" spans="1:34" x14ac:dyDescent="0.2">
      <c r="A6" s="2030" t="s">
        <v>333</v>
      </c>
      <c r="B6" s="2030"/>
      <c r="C6" s="2030"/>
      <c r="D6" s="2036" t="s">
        <v>483</v>
      </c>
      <c r="E6" s="2036"/>
      <c r="F6" s="2036"/>
      <c r="G6" s="2036"/>
      <c r="H6" s="2036"/>
      <c r="I6" s="2036"/>
      <c r="J6" s="2036"/>
      <c r="K6" s="2036"/>
      <c r="L6" s="2036"/>
      <c r="M6" s="2036"/>
      <c r="N6" s="2036"/>
      <c r="O6" s="2036"/>
      <c r="P6" s="2036"/>
      <c r="Q6" s="2036"/>
      <c r="R6" s="2036"/>
      <c r="S6" s="2036"/>
      <c r="T6" s="2036"/>
      <c r="U6" s="2036"/>
      <c r="V6" s="2036"/>
      <c r="W6" s="2036"/>
      <c r="X6" s="461">
        <v>38372330</v>
      </c>
      <c r="Y6" s="461">
        <v>28631126</v>
      </c>
      <c r="Z6" s="461"/>
      <c r="AA6" s="461"/>
      <c r="AB6" s="461"/>
      <c r="AC6" s="461"/>
      <c r="AD6" s="461"/>
      <c r="AE6" s="461"/>
      <c r="AF6" s="461"/>
      <c r="AG6" s="461"/>
      <c r="AH6" s="461"/>
    </row>
    <row r="7" spans="1:34" x14ac:dyDescent="0.2">
      <c r="A7" s="2030" t="s">
        <v>335</v>
      </c>
      <c r="B7" s="2030"/>
      <c r="C7" s="2030"/>
      <c r="D7" s="2031" t="s">
        <v>484</v>
      </c>
      <c r="E7" s="2031"/>
      <c r="F7" s="2031"/>
      <c r="G7" s="2031"/>
      <c r="H7" s="2031"/>
      <c r="I7" s="2031"/>
      <c r="J7" s="2031"/>
      <c r="K7" s="2031"/>
      <c r="L7" s="2031"/>
      <c r="M7" s="2031"/>
      <c r="N7" s="2031"/>
      <c r="O7" s="2031"/>
      <c r="P7" s="2031"/>
      <c r="Q7" s="2031"/>
      <c r="R7" s="2031"/>
      <c r="S7" s="2031"/>
      <c r="T7" s="2031"/>
      <c r="U7" s="2031"/>
      <c r="V7" s="2031"/>
      <c r="W7" s="2031"/>
      <c r="X7" s="828">
        <v>9914919</v>
      </c>
      <c r="Y7" s="790">
        <v>11310494</v>
      </c>
      <c r="Z7" s="274">
        <v>324546</v>
      </c>
      <c r="AA7" s="461">
        <v>304274</v>
      </c>
      <c r="AB7" s="790">
        <v>9331512</v>
      </c>
      <c r="AC7" s="461">
        <v>8490760</v>
      </c>
      <c r="AD7" s="274">
        <v>0</v>
      </c>
      <c r="AE7" s="823"/>
      <c r="AF7" s="824">
        <f>SUM(Y7:AD7)</f>
        <v>29761586</v>
      </c>
      <c r="AG7" s="824">
        <f>X7+Z7+AB7+AD7</f>
        <v>19570977</v>
      </c>
      <c r="AH7" s="824">
        <f>Y7+AA7+AC7+AE7</f>
        <v>20105528</v>
      </c>
    </row>
    <row r="8" spans="1:34" ht="23.25" customHeight="1" x14ac:dyDescent="0.2">
      <c r="A8" s="2030" t="s">
        <v>339</v>
      </c>
      <c r="B8" s="2030"/>
      <c r="C8" s="2030"/>
      <c r="D8" s="2031" t="s">
        <v>590</v>
      </c>
      <c r="E8" s="2031"/>
      <c r="F8" s="2031"/>
      <c r="G8" s="2031"/>
      <c r="H8" s="2031"/>
      <c r="I8" s="2031"/>
      <c r="J8" s="2031"/>
      <c r="K8" s="2031"/>
      <c r="L8" s="2031"/>
      <c r="M8" s="2031"/>
      <c r="N8" s="2031"/>
      <c r="O8" s="2031"/>
      <c r="P8" s="2031"/>
      <c r="Q8" s="2031"/>
      <c r="R8" s="2031"/>
      <c r="S8" s="2031"/>
      <c r="T8" s="2031"/>
      <c r="U8" s="2031"/>
      <c r="V8" s="2031"/>
      <c r="W8" s="2031"/>
      <c r="X8" s="790">
        <v>0</v>
      </c>
      <c r="Y8" s="790">
        <v>0</v>
      </c>
      <c r="Z8" s="274"/>
      <c r="AA8" s="461"/>
      <c r="AB8" s="790"/>
      <c r="AC8" s="461"/>
      <c r="AD8" s="274"/>
      <c r="AE8" s="823"/>
      <c r="AF8" s="824">
        <f>SUM(X8:AD8)</f>
        <v>0</v>
      </c>
      <c r="AG8" s="824">
        <f t="shared" ref="AG8:AG44" si="1">X8+Z8+AB8+AD8</f>
        <v>0</v>
      </c>
      <c r="AH8" s="824">
        <f t="shared" ref="AH8:AH44" si="2">Y8+AA8+AC8+AE8</f>
        <v>0</v>
      </c>
    </row>
    <row r="9" spans="1:34" x14ac:dyDescent="0.2">
      <c r="A9" s="2034" t="s">
        <v>337</v>
      </c>
      <c r="B9" s="2034"/>
      <c r="C9" s="2034"/>
      <c r="D9" s="2033" t="s">
        <v>485</v>
      </c>
      <c r="E9" s="2033"/>
      <c r="F9" s="2033"/>
      <c r="G9" s="2033"/>
      <c r="H9" s="2033"/>
      <c r="I9" s="2033"/>
      <c r="J9" s="2033"/>
      <c r="K9" s="2033"/>
      <c r="L9" s="2033"/>
      <c r="M9" s="2033"/>
      <c r="N9" s="2033"/>
      <c r="O9" s="2033"/>
      <c r="P9" s="2033"/>
      <c r="Q9" s="2033"/>
      <c r="R9" s="2033"/>
      <c r="S9" s="2033"/>
      <c r="T9" s="2033"/>
      <c r="U9" s="2033"/>
      <c r="V9" s="2033"/>
      <c r="W9" s="2033"/>
      <c r="X9" s="791">
        <f>SUM(X6:X8)</f>
        <v>48287249</v>
      </c>
      <c r="Y9" s="791">
        <f>SUM(Y6:Y8)</f>
        <v>39941620</v>
      </c>
      <c r="Z9" s="275">
        <f>Z7</f>
        <v>324546</v>
      </c>
      <c r="AA9" s="275">
        <f>AA7</f>
        <v>304274</v>
      </c>
      <c r="AB9" s="791">
        <f>AB7</f>
        <v>9331512</v>
      </c>
      <c r="AC9" s="791">
        <f>AC7</f>
        <v>8490760</v>
      </c>
      <c r="AD9" s="275">
        <v>0</v>
      </c>
      <c r="AE9" s="275">
        <v>0</v>
      </c>
      <c r="AF9" s="824">
        <f>SUM(X9:AD9)</f>
        <v>106679961</v>
      </c>
      <c r="AG9" s="824">
        <f t="shared" si="1"/>
        <v>57943307</v>
      </c>
      <c r="AH9" s="824">
        <f t="shared" si="2"/>
        <v>48736654</v>
      </c>
    </row>
    <row r="10" spans="1:34" x14ac:dyDescent="0.2">
      <c r="A10" s="2030" t="s">
        <v>341</v>
      </c>
      <c r="B10" s="2030"/>
      <c r="C10" s="2030"/>
      <c r="D10" s="2031" t="s">
        <v>486</v>
      </c>
      <c r="E10" s="2031"/>
      <c r="F10" s="2031"/>
      <c r="G10" s="2031"/>
      <c r="H10" s="2031"/>
      <c r="I10" s="2031"/>
      <c r="J10" s="2031"/>
      <c r="K10" s="2031"/>
      <c r="L10" s="2031"/>
      <c r="M10" s="2031"/>
      <c r="N10" s="2031"/>
      <c r="O10" s="2031"/>
      <c r="P10" s="2031"/>
      <c r="Q10" s="2031"/>
      <c r="R10" s="2031"/>
      <c r="S10" s="2031"/>
      <c r="T10" s="2031"/>
      <c r="U10" s="2031"/>
      <c r="V10" s="2031"/>
      <c r="W10" s="2031"/>
      <c r="X10" s="790"/>
      <c r="Y10" s="461"/>
      <c r="Z10" s="274"/>
      <c r="AA10" s="461"/>
      <c r="AB10" s="790"/>
      <c r="AC10" s="461"/>
      <c r="AD10" s="274"/>
      <c r="AE10" s="823"/>
      <c r="AF10" s="824">
        <f>SUM(X10:AD10)</f>
        <v>0</v>
      </c>
      <c r="AG10" s="824">
        <f t="shared" si="1"/>
        <v>0</v>
      </c>
      <c r="AH10" s="824">
        <f t="shared" si="2"/>
        <v>0</v>
      </c>
    </row>
    <row r="11" spans="1:34" x14ac:dyDescent="0.2">
      <c r="A11" s="2030" t="s">
        <v>346</v>
      </c>
      <c r="B11" s="2030"/>
      <c r="C11" s="2030"/>
      <c r="D11" s="2031" t="s">
        <v>487</v>
      </c>
      <c r="E11" s="2031"/>
      <c r="F11" s="2031"/>
      <c r="G11" s="2031"/>
      <c r="H11" s="2031"/>
      <c r="I11" s="2031"/>
      <c r="J11" s="2031"/>
      <c r="K11" s="2031"/>
      <c r="L11" s="2031"/>
      <c r="M11" s="2031"/>
      <c r="N11" s="2031"/>
      <c r="O11" s="2031"/>
      <c r="P11" s="2031"/>
      <c r="Q11" s="2031"/>
      <c r="R11" s="2031"/>
      <c r="S11" s="2031"/>
      <c r="T11" s="2031"/>
      <c r="U11" s="2031"/>
      <c r="V11" s="2031"/>
      <c r="W11" s="2031"/>
      <c r="X11" s="792"/>
      <c r="Y11" s="461"/>
      <c r="Z11" s="276"/>
      <c r="AA11" s="461"/>
      <c r="AB11" s="792"/>
      <c r="AC11" s="461"/>
      <c r="AD11" s="276"/>
      <c r="AE11" s="823"/>
      <c r="AF11" s="824">
        <f>SUM(X11:AD11)</f>
        <v>0</v>
      </c>
      <c r="AG11" s="824">
        <f t="shared" si="1"/>
        <v>0</v>
      </c>
      <c r="AH11" s="824">
        <f t="shared" si="2"/>
        <v>0</v>
      </c>
    </row>
    <row r="12" spans="1:34" x14ac:dyDescent="0.2">
      <c r="A12" s="2034" t="s">
        <v>343</v>
      </c>
      <c r="B12" s="2034"/>
      <c r="C12" s="2034"/>
      <c r="D12" s="2046" t="s">
        <v>488</v>
      </c>
      <c r="E12" s="2046"/>
      <c r="F12" s="2046"/>
      <c r="G12" s="2046"/>
      <c r="H12" s="2046"/>
      <c r="I12" s="2046"/>
      <c r="J12" s="2046"/>
      <c r="K12" s="2046"/>
      <c r="L12" s="2046"/>
      <c r="M12" s="2046"/>
      <c r="N12" s="2046"/>
      <c r="O12" s="2046"/>
      <c r="P12" s="2046"/>
      <c r="Q12" s="2046"/>
      <c r="R12" s="2046"/>
      <c r="S12" s="2046"/>
      <c r="T12" s="2046"/>
      <c r="U12" s="2046"/>
      <c r="V12" s="2046"/>
      <c r="W12" s="2046"/>
      <c r="X12" s="793">
        <f>SUM(X10:X11)</f>
        <v>0</v>
      </c>
      <c r="Y12" s="793">
        <f t="shared" ref="Y12:AE12" si="3">SUM(Y10:Y11)</f>
        <v>0</v>
      </c>
      <c r="Z12" s="277">
        <f t="shared" si="3"/>
        <v>0</v>
      </c>
      <c r="AA12" s="277">
        <f t="shared" si="3"/>
        <v>0</v>
      </c>
      <c r="AB12" s="793">
        <f t="shared" si="3"/>
        <v>0</v>
      </c>
      <c r="AC12" s="793">
        <f t="shared" si="3"/>
        <v>0</v>
      </c>
      <c r="AD12" s="277">
        <f t="shared" si="3"/>
        <v>0</v>
      </c>
      <c r="AE12" s="277">
        <f t="shared" si="3"/>
        <v>0</v>
      </c>
      <c r="AF12" s="824">
        <f>SUM(X12:AD12)</f>
        <v>0</v>
      </c>
      <c r="AG12" s="824">
        <f t="shared" si="1"/>
        <v>0</v>
      </c>
      <c r="AH12" s="824">
        <f t="shared" si="2"/>
        <v>0</v>
      </c>
    </row>
    <row r="13" spans="1:34" x14ac:dyDescent="0.2">
      <c r="A13" s="2030" t="s">
        <v>348</v>
      </c>
      <c r="B13" s="2030"/>
      <c r="C13" s="2030"/>
      <c r="D13" s="2031" t="s">
        <v>489</v>
      </c>
      <c r="E13" s="2031"/>
      <c r="F13" s="2031"/>
      <c r="G13" s="2031"/>
      <c r="H13" s="2031"/>
      <c r="I13" s="2031"/>
      <c r="J13" s="2031"/>
      <c r="K13" s="2031"/>
      <c r="L13" s="2031"/>
      <c r="M13" s="2031"/>
      <c r="N13" s="2031"/>
      <c r="O13" s="2031"/>
      <c r="P13" s="2031"/>
      <c r="Q13" s="2031"/>
      <c r="R13" s="2031"/>
      <c r="S13" s="2031"/>
      <c r="T13" s="2031"/>
      <c r="U13" s="2031"/>
      <c r="V13" s="2031"/>
      <c r="W13" s="2031"/>
      <c r="X13" s="790">
        <v>185440931</v>
      </c>
      <c r="Y13" s="461">
        <v>215601162</v>
      </c>
      <c r="Z13" s="274">
        <v>43312315</v>
      </c>
      <c r="AA13" s="461">
        <v>48576272</v>
      </c>
      <c r="AB13" s="790">
        <v>47384988</v>
      </c>
      <c r="AC13" s="461">
        <v>57430406</v>
      </c>
      <c r="AD13" s="274">
        <v>43338363</v>
      </c>
      <c r="AE13" s="823">
        <v>44864917</v>
      </c>
      <c r="AF13" s="824">
        <f>SUM(X13:AE13)</f>
        <v>685949354</v>
      </c>
      <c r="AG13" s="824">
        <f t="shared" si="1"/>
        <v>319476597</v>
      </c>
      <c r="AH13" s="824">
        <f t="shared" si="2"/>
        <v>366472757</v>
      </c>
    </row>
    <row r="14" spans="1:34" x14ac:dyDescent="0.2">
      <c r="A14" s="2030" t="s">
        <v>352</v>
      </c>
      <c r="B14" s="2030"/>
      <c r="C14" s="2030"/>
      <c r="D14" s="2031" t="s">
        <v>490</v>
      </c>
      <c r="E14" s="2031"/>
      <c r="F14" s="2031"/>
      <c r="G14" s="2031"/>
      <c r="H14" s="2031"/>
      <c r="I14" s="2031"/>
      <c r="J14" s="2031"/>
      <c r="K14" s="2031"/>
      <c r="L14" s="2031"/>
      <c r="M14" s="2031"/>
      <c r="N14" s="2031"/>
      <c r="O14" s="2031"/>
      <c r="P14" s="2031"/>
      <c r="Q14" s="2031"/>
      <c r="R14" s="2031"/>
      <c r="S14" s="2031"/>
      <c r="T14" s="2031"/>
      <c r="U14" s="2031"/>
      <c r="V14" s="2031"/>
      <c r="W14" s="2031"/>
      <c r="X14" s="790">
        <v>42568711</v>
      </c>
      <c r="Y14" s="461">
        <v>36031374</v>
      </c>
      <c r="Z14" s="274"/>
      <c r="AA14" s="461">
        <v>746480</v>
      </c>
      <c r="AB14" s="790"/>
      <c r="AC14" s="461"/>
      <c r="AD14" s="274"/>
      <c r="AE14" s="823"/>
      <c r="AF14" s="824">
        <f>SUM(X14:AD14)</f>
        <v>79346565</v>
      </c>
      <c r="AG14" s="824">
        <f t="shared" si="1"/>
        <v>42568711</v>
      </c>
      <c r="AH14" s="824">
        <f t="shared" si="2"/>
        <v>36777854</v>
      </c>
    </row>
    <row r="15" spans="1:34" s="91" customFormat="1" x14ac:dyDescent="0.2">
      <c r="A15" s="827"/>
      <c r="B15" s="827"/>
      <c r="C15" s="827"/>
      <c r="D15" s="2031" t="s">
        <v>589</v>
      </c>
      <c r="E15" s="2031"/>
      <c r="F15" s="2031"/>
      <c r="G15" s="2031"/>
      <c r="H15" s="2031"/>
      <c r="I15" s="2031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  <c r="V15" s="825"/>
      <c r="W15" s="825"/>
      <c r="X15" s="790">
        <v>124507800</v>
      </c>
      <c r="Y15" s="461">
        <v>1015056</v>
      </c>
      <c r="Z15" s="274"/>
      <c r="AA15" s="461"/>
      <c r="AB15" s="790"/>
      <c r="AC15" s="461"/>
      <c r="AD15" s="274"/>
      <c r="AE15" s="823"/>
      <c r="AF15" s="277"/>
      <c r="AG15" s="824">
        <f t="shared" si="1"/>
        <v>124507800</v>
      </c>
      <c r="AH15" s="824">
        <f t="shared" si="2"/>
        <v>1015056</v>
      </c>
    </row>
    <row r="16" spans="1:34" x14ac:dyDescent="0.2">
      <c r="A16" s="2030" t="s">
        <v>354</v>
      </c>
      <c r="B16" s="2030"/>
      <c r="C16" s="2030"/>
      <c r="D16" s="2031" t="s">
        <v>491</v>
      </c>
      <c r="E16" s="2031"/>
      <c r="F16" s="2031"/>
      <c r="G16" s="2031"/>
      <c r="H16" s="2031"/>
      <c r="I16" s="2031"/>
      <c r="J16" s="2031"/>
      <c r="K16" s="2031"/>
      <c r="L16" s="2031"/>
      <c r="M16" s="2031"/>
      <c r="N16" s="2031"/>
      <c r="O16" s="2031"/>
      <c r="P16" s="2031"/>
      <c r="Q16" s="2031"/>
      <c r="R16" s="2031"/>
      <c r="S16" s="2031"/>
      <c r="T16" s="2031"/>
      <c r="U16" s="2031"/>
      <c r="V16" s="2031"/>
      <c r="W16" s="2031"/>
      <c r="X16" s="790">
        <v>117582408</v>
      </c>
      <c r="Y16" s="461">
        <v>39337471</v>
      </c>
      <c r="Z16" s="274">
        <v>186492</v>
      </c>
      <c r="AA16" s="461">
        <v>116931</v>
      </c>
      <c r="AB16" s="790">
        <v>2959</v>
      </c>
      <c r="AC16" s="461">
        <v>52155</v>
      </c>
      <c r="AD16" s="274">
        <v>2146</v>
      </c>
      <c r="AE16" s="823">
        <v>4278</v>
      </c>
      <c r="AF16" s="824">
        <f>SUM(X16:AE16)</f>
        <v>157284840</v>
      </c>
      <c r="AG16" s="824">
        <f t="shared" si="1"/>
        <v>117774005</v>
      </c>
      <c r="AH16" s="824">
        <f t="shared" si="2"/>
        <v>39510835</v>
      </c>
    </row>
    <row r="17" spans="1:34" x14ac:dyDescent="0.2">
      <c r="A17" s="2034" t="s">
        <v>350</v>
      </c>
      <c r="B17" s="2034"/>
      <c r="C17" s="2034"/>
      <c r="D17" s="2033" t="s">
        <v>492</v>
      </c>
      <c r="E17" s="2033"/>
      <c r="F17" s="2033"/>
      <c r="G17" s="2033"/>
      <c r="H17" s="2033"/>
      <c r="I17" s="2033"/>
      <c r="J17" s="2033"/>
      <c r="K17" s="2033"/>
      <c r="L17" s="2033"/>
      <c r="M17" s="2033"/>
      <c r="N17" s="2033"/>
      <c r="O17" s="2033"/>
      <c r="P17" s="2033"/>
      <c r="Q17" s="2033"/>
      <c r="R17" s="2033"/>
      <c r="S17" s="2033"/>
      <c r="T17" s="2033"/>
      <c r="U17" s="2033"/>
      <c r="V17" s="2033"/>
      <c r="W17" s="2033"/>
      <c r="X17" s="791">
        <f>SUM(X13:X16)</f>
        <v>470099850</v>
      </c>
      <c r="Y17" s="791">
        <f t="shared" ref="Y17:AE17" si="4">SUM(Y13:Y16)</f>
        <v>291985063</v>
      </c>
      <c r="Z17" s="275">
        <f t="shared" si="4"/>
        <v>43498807</v>
      </c>
      <c r="AA17" s="275">
        <f t="shared" si="4"/>
        <v>49439683</v>
      </c>
      <c r="AB17" s="791">
        <f t="shared" si="4"/>
        <v>47387947</v>
      </c>
      <c r="AC17" s="791">
        <f t="shared" si="4"/>
        <v>57482561</v>
      </c>
      <c r="AD17" s="275">
        <f t="shared" si="4"/>
        <v>43340509</v>
      </c>
      <c r="AE17" s="275">
        <f t="shared" si="4"/>
        <v>44869195</v>
      </c>
      <c r="AF17" s="824">
        <f>SUM(X17:AD17)</f>
        <v>1003234420</v>
      </c>
      <c r="AG17" s="824">
        <f t="shared" si="1"/>
        <v>604327113</v>
      </c>
      <c r="AH17" s="824">
        <f t="shared" si="2"/>
        <v>443776502</v>
      </c>
    </row>
    <row r="18" spans="1:34" x14ac:dyDescent="0.2">
      <c r="A18" s="2030" t="s">
        <v>459</v>
      </c>
      <c r="B18" s="2030"/>
      <c r="C18" s="2030"/>
      <c r="D18" s="2031" t="s">
        <v>493</v>
      </c>
      <c r="E18" s="2031"/>
      <c r="F18" s="2031"/>
      <c r="G18" s="2031"/>
      <c r="H18" s="2031"/>
      <c r="I18" s="2031"/>
      <c r="J18" s="2031"/>
      <c r="K18" s="2031"/>
      <c r="L18" s="2031"/>
      <c r="M18" s="2031"/>
      <c r="N18" s="2031"/>
      <c r="O18" s="2031"/>
      <c r="P18" s="2031"/>
      <c r="Q18" s="2031"/>
      <c r="R18" s="2031"/>
      <c r="S18" s="2031"/>
      <c r="T18" s="2031"/>
      <c r="U18" s="2031"/>
      <c r="V18" s="2031"/>
      <c r="W18" s="2031"/>
      <c r="X18" s="790">
        <v>22709889</v>
      </c>
      <c r="Y18" s="461">
        <v>17365672</v>
      </c>
      <c r="Z18" s="274">
        <v>1339231</v>
      </c>
      <c r="AA18" s="461">
        <v>1419399</v>
      </c>
      <c r="AB18" s="790">
        <v>19681166</v>
      </c>
      <c r="AC18" s="461">
        <v>21669284</v>
      </c>
      <c r="AD18" s="274">
        <v>943171</v>
      </c>
      <c r="AE18" s="823">
        <v>1637469</v>
      </c>
      <c r="AF18" s="824">
        <f>SUM(X18:AE18)</f>
        <v>86765281</v>
      </c>
      <c r="AG18" s="824">
        <f t="shared" si="1"/>
        <v>44673457</v>
      </c>
      <c r="AH18" s="824">
        <f t="shared" si="2"/>
        <v>42091824</v>
      </c>
    </row>
    <row r="19" spans="1:34" x14ac:dyDescent="0.2">
      <c r="A19" s="2030" t="s">
        <v>286</v>
      </c>
      <c r="B19" s="2030"/>
      <c r="C19" s="2030"/>
      <c r="D19" s="2031" t="s">
        <v>494</v>
      </c>
      <c r="E19" s="2031"/>
      <c r="F19" s="2031"/>
      <c r="G19" s="2031"/>
      <c r="H19" s="2031"/>
      <c r="I19" s="2031"/>
      <c r="J19" s="2031"/>
      <c r="K19" s="2031"/>
      <c r="L19" s="2031"/>
      <c r="M19" s="2031"/>
      <c r="N19" s="2031"/>
      <c r="O19" s="2031"/>
      <c r="P19" s="2031"/>
      <c r="Q19" s="2031"/>
      <c r="R19" s="2031"/>
      <c r="S19" s="2031"/>
      <c r="T19" s="2031"/>
      <c r="U19" s="2031"/>
      <c r="V19" s="2031"/>
      <c r="W19" s="2031"/>
      <c r="X19" s="790">
        <v>37106601</v>
      </c>
      <c r="Y19" s="461">
        <v>37245429</v>
      </c>
      <c r="Z19" s="274">
        <v>5192566</v>
      </c>
      <c r="AA19" s="461">
        <v>7204359</v>
      </c>
      <c r="AB19" s="790">
        <v>3680195</v>
      </c>
      <c r="AC19" s="461">
        <v>6229402</v>
      </c>
      <c r="AD19" s="274">
        <v>1798896</v>
      </c>
      <c r="AE19" s="823">
        <v>1955336</v>
      </c>
      <c r="AF19" s="824">
        <f>SUM(X19:AE19)</f>
        <v>100412784</v>
      </c>
      <c r="AG19" s="824">
        <f t="shared" si="1"/>
        <v>47778258</v>
      </c>
      <c r="AH19" s="824">
        <f t="shared" si="2"/>
        <v>52634526</v>
      </c>
    </row>
    <row r="20" spans="1:34" x14ac:dyDescent="0.2">
      <c r="A20" s="2030" t="s">
        <v>288</v>
      </c>
      <c r="B20" s="2030"/>
      <c r="C20" s="2030"/>
      <c r="D20" s="2031" t="s">
        <v>495</v>
      </c>
      <c r="E20" s="2031"/>
      <c r="F20" s="2031"/>
      <c r="G20" s="2031"/>
      <c r="H20" s="2031"/>
      <c r="I20" s="2031"/>
      <c r="J20" s="2031"/>
      <c r="K20" s="2031"/>
      <c r="L20" s="2031"/>
      <c r="M20" s="2031"/>
      <c r="N20" s="2031"/>
      <c r="O20" s="2031"/>
      <c r="P20" s="2031"/>
      <c r="Q20" s="2031"/>
      <c r="R20" s="2031"/>
      <c r="S20" s="2031"/>
      <c r="T20" s="2031"/>
      <c r="U20" s="2031"/>
      <c r="V20" s="2031"/>
      <c r="W20" s="2031"/>
      <c r="X20" s="790">
        <v>3049262</v>
      </c>
      <c r="Y20" s="461">
        <v>3881351</v>
      </c>
      <c r="Z20" s="274">
        <v>306056</v>
      </c>
      <c r="AA20" s="461">
        <v>331740</v>
      </c>
      <c r="AB20" s="790"/>
      <c r="AC20" s="461"/>
      <c r="AD20" s="274"/>
      <c r="AE20" s="823"/>
      <c r="AF20" s="824">
        <f>SUM(X20:AD20)</f>
        <v>7568409</v>
      </c>
      <c r="AG20" s="824">
        <f t="shared" si="1"/>
        <v>3355318</v>
      </c>
      <c r="AH20" s="824">
        <f t="shared" si="2"/>
        <v>4213091</v>
      </c>
    </row>
    <row r="21" spans="1:34" x14ac:dyDescent="0.2">
      <c r="A21" s="2034" t="s">
        <v>356</v>
      </c>
      <c r="B21" s="2034"/>
      <c r="C21" s="2034"/>
      <c r="D21" s="2033" t="s">
        <v>496</v>
      </c>
      <c r="E21" s="2033"/>
      <c r="F21" s="2033"/>
      <c r="G21" s="2033"/>
      <c r="H21" s="2033"/>
      <c r="I21" s="2033"/>
      <c r="J21" s="2033"/>
      <c r="K21" s="2033"/>
      <c r="L21" s="2033"/>
      <c r="M21" s="2033"/>
      <c r="N21" s="2033"/>
      <c r="O21" s="2033"/>
      <c r="P21" s="2033"/>
      <c r="Q21" s="2033"/>
      <c r="R21" s="2033"/>
      <c r="S21" s="2033"/>
      <c r="T21" s="2033"/>
      <c r="U21" s="2033"/>
      <c r="V21" s="2033"/>
      <c r="W21" s="2033"/>
      <c r="X21" s="791">
        <f>SUM(X18:X20)</f>
        <v>62865752</v>
      </c>
      <c r="Y21" s="791">
        <f t="shared" ref="Y21:AE21" si="5">SUM(Y18:Y20)</f>
        <v>58492452</v>
      </c>
      <c r="Z21" s="275">
        <f t="shared" si="5"/>
        <v>6837853</v>
      </c>
      <c r="AA21" s="275">
        <f t="shared" si="5"/>
        <v>8955498</v>
      </c>
      <c r="AB21" s="791">
        <f t="shared" si="5"/>
        <v>23361361</v>
      </c>
      <c r="AC21" s="791">
        <f t="shared" si="5"/>
        <v>27898686</v>
      </c>
      <c r="AD21" s="275">
        <f t="shared" si="5"/>
        <v>2742067</v>
      </c>
      <c r="AE21" s="275">
        <f t="shared" si="5"/>
        <v>3592805</v>
      </c>
      <c r="AF21" s="824">
        <f>SUM(X21:AD21)</f>
        <v>191153669</v>
      </c>
      <c r="AG21" s="824">
        <f t="shared" si="1"/>
        <v>95807033</v>
      </c>
      <c r="AH21" s="824">
        <f t="shared" si="2"/>
        <v>98939441</v>
      </c>
    </row>
    <row r="22" spans="1:34" x14ac:dyDescent="0.2">
      <c r="A22" s="2030" t="s">
        <v>289</v>
      </c>
      <c r="B22" s="2030"/>
      <c r="C22" s="2030"/>
      <c r="D22" s="2031" t="s">
        <v>497</v>
      </c>
      <c r="E22" s="2031"/>
      <c r="F22" s="2031"/>
      <c r="G22" s="2031"/>
      <c r="H22" s="2031"/>
      <c r="I22" s="2031"/>
      <c r="J22" s="2031"/>
      <c r="K22" s="2031"/>
      <c r="L22" s="2031"/>
      <c r="M22" s="2031"/>
      <c r="N22" s="2031"/>
      <c r="O22" s="2031"/>
      <c r="P22" s="2031"/>
      <c r="Q22" s="2031"/>
      <c r="R22" s="2031"/>
      <c r="S22" s="2031"/>
      <c r="T22" s="2031"/>
      <c r="U22" s="2031"/>
      <c r="V22" s="2031"/>
      <c r="W22" s="2031"/>
      <c r="X22" s="790">
        <v>47560336</v>
      </c>
      <c r="Y22" s="461">
        <v>38726133</v>
      </c>
      <c r="Z22" s="274">
        <v>23437228</v>
      </c>
      <c r="AA22" s="461">
        <v>26790791</v>
      </c>
      <c r="AB22" s="790">
        <v>23781934</v>
      </c>
      <c r="AC22" s="461">
        <v>24300855</v>
      </c>
      <c r="AD22" s="274">
        <v>31467107</v>
      </c>
      <c r="AE22" s="823">
        <v>33444149</v>
      </c>
      <c r="AF22" s="824">
        <f>SUM(X22:AE22)</f>
        <v>249508533</v>
      </c>
      <c r="AG22" s="824">
        <f t="shared" si="1"/>
        <v>126246605</v>
      </c>
      <c r="AH22" s="824">
        <f t="shared" si="2"/>
        <v>123261928</v>
      </c>
    </row>
    <row r="23" spans="1:34" x14ac:dyDescent="0.2">
      <c r="A23" s="2030" t="s">
        <v>290</v>
      </c>
      <c r="B23" s="2030"/>
      <c r="C23" s="2030"/>
      <c r="D23" s="2031" t="s">
        <v>498</v>
      </c>
      <c r="E23" s="2031"/>
      <c r="F23" s="2031"/>
      <c r="G23" s="2031"/>
      <c r="H23" s="2031"/>
      <c r="I23" s="2031"/>
      <c r="J23" s="2031"/>
      <c r="K23" s="2031"/>
      <c r="L23" s="2031"/>
      <c r="M23" s="2031"/>
      <c r="N23" s="2031"/>
      <c r="O23" s="2031"/>
      <c r="P23" s="2031"/>
      <c r="Q23" s="2031"/>
      <c r="R23" s="2031"/>
      <c r="S23" s="2031"/>
      <c r="T23" s="2031"/>
      <c r="U23" s="2031"/>
      <c r="V23" s="2031"/>
      <c r="W23" s="2031"/>
      <c r="X23" s="790">
        <v>10072557</v>
      </c>
      <c r="Y23" s="461">
        <v>10760421</v>
      </c>
      <c r="Z23" s="274">
        <v>3948523</v>
      </c>
      <c r="AA23" s="461">
        <v>4857116</v>
      </c>
      <c r="AB23" s="790">
        <v>1197830</v>
      </c>
      <c r="AC23" s="461">
        <v>484509</v>
      </c>
      <c r="AD23" s="274">
        <v>1355608</v>
      </c>
      <c r="AE23" s="823">
        <v>982193</v>
      </c>
      <c r="AF23" s="824">
        <f>SUM(X23:AE23)</f>
        <v>33658757</v>
      </c>
      <c r="AG23" s="824">
        <f t="shared" si="1"/>
        <v>16574518</v>
      </c>
      <c r="AH23" s="824">
        <f t="shared" si="2"/>
        <v>17084239</v>
      </c>
    </row>
    <row r="24" spans="1:34" x14ac:dyDescent="0.2">
      <c r="A24" s="2030" t="s">
        <v>291</v>
      </c>
      <c r="B24" s="2030"/>
      <c r="C24" s="2030"/>
      <c r="D24" s="2031" t="s">
        <v>499</v>
      </c>
      <c r="E24" s="2031"/>
      <c r="F24" s="2031"/>
      <c r="G24" s="2031"/>
      <c r="H24" s="2031"/>
      <c r="I24" s="2031"/>
      <c r="J24" s="2031"/>
      <c r="K24" s="2031"/>
      <c r="L24" s="2031"/>
      <c r="M24" s="2031"/>
      <c r="N24" s="2031"/>
      <c r="O24" s="2031"/>
      <c r="P24" s="2031"/>
      <c r="Q24" s="2031"/>
      <c r="R24" s="2031"/>
      <c r="S24" s="2031"/>
      <c r="T24" s="2031"/>
      <c r="U24" s="2031"/>
      <c r="V24" s="2031"/>
      <c r="W24" s="2031"/>
      <c r="X24" s="790">
        <v>8843932</v>
      </c>
      <c r="Y24" s="461">
        <v>7508592</v>
      </c>
      <c r="Z24" s="274">
        <v>6141146</v>
      </c>
      <c r="AA24" s="461">
        <v>6266886</v>
      </c>
      <c r="AB24" s="790">
        <v>5557659</v>
      </c>
      <c r="AC24" s="461">
        <v>4876080</v>
      </c>
      <c r="AD24" s="274">
        <v>7128337</v>
      </c>
      <c r="AE24" s="823">
        <v>6704356</v>
      </c>
      <c r="AF24" s="824">
        <f>SUM(X24:AE24)</f>
        <v>53026988</v>
      </c>
      <c r="AG24" s="824">
        <f t="shared" si="1"/>
        <v>27671074</v>
      </c>
      <c r="AH24" s="824">
        <f t="shared" si="2"/>
        <v>25355914</v>
      </c>
    </row>
    <row r="25" spans="1:34" x14ac:dyDescent="0.2">
      <c r="A25" s="2034" t="s">
        <v>500</v>
      </c>
      <c r="B25" s="2034"/>
      <c r="C25" s="2034"/>
      <c r="D25" s="2033" t="s">
        <v>501</v>
      </c>
      <c r="E25" s="2033"/>
      <c r="F25" s="2033"/>
      <c r="G25" s="2033"/>
      <c r="H25" s="2033"/>
      <c r="I25" s="2033"/>
      <c r="J25" s="2033"/>
      <c r="K25" s="2033"/>
      <c r="L25" s="2033"/>
      <c r="M25" s="2033"/>
      <c r="N25" s="2033"/>
      <c r="O25" s="2033"/>
      <c r="P25" s="2033"/>
      <c r="Q25" s="2033"/>
      <c r="R25" s="2033"/>
      <c r="S25" s="2033"/>
      <c r="T25" s="2033"/>
      <c r="U25" s="2033"/>
      <c r="V25" s="2033"/>
      <c r="W25" s="2033"/>
      <c r="X25" s="791">
        <f>SUM(X22:X24)</f>
        <v>66476825</v>
      </c>
      <c r="Y25" s="791">
        <f t="shared" ref="Y25:AE25" si="6">SUM(Y22:Y24)</f>
        <v>56995146</v>
      </c>
      <c r="Z25" s="275">
        <f t="shared" si="6"/>
        <v>33526897</v>
      </c>
      <c r="AA25" s="275">
        <f t="shared" si="6"/>
        <v>37914793</v>
      </c>
      <c r="AB25" s="791">
        <f t="shared" si="6"/>
        <v>30537423</v>
      </c>
      <c r="AC25" s="791">
        <f t="shared" si="6"/>
        <v>29661444</v>
      </c>
      <c r="AD25" s="275">
        <f t="shared" si="6"/>
        <v>39951052</v>
      </c>
      <c r="AE25" s="275">
        <f t="shared" si="6"/>
        <v>41130698</v>
      </c>
      <c r="AF25" s="824">
        <f>SUM(X25:AD25)</f>
        <v>295063580</v>
      </c>
      <c r="AG25" s="824">
        <f t="shared" si="1"/>
        <v>170492197</v>
      </c>
      <c r="AH25" s="824">
        <f t="shared" si="2"/>
        <v>165702081</v>
      </c>
    </row>
    <row r="26" spans="1:34" x14ac:dyDescent="0.2">
      <c r="A26" s="2034" t="s">
        <v>502</v>
      </c>
      <c r="B26" s="2034"/>
      <c r="C26" s="2034"/>
      <c r="D26" s="2033" t="s">
        <v>503</v>
      </c>
      <c r="E26" s="2033"/>
      <c r="F26" s="2033"/>
      <c r="G26" s="2033"/>
      <c r="H26" s="2033"/>
      <c r="I26" s="2033"/>
      <c r="J26" s="2033"/>
      <c r="K26" s="2033"/>
      <c r="L26" s="2033"/>
      <c r="M26" s="2033"/>
      <c r="N26" s="2033"/>
      <c r="O26" s="2033"/>
      <c r="P26" s="2033"/>
      <c r="Q26" s="2033"/>
      <c r="R26" s="2033"/>
      <c r="S26" s="2033"/>
      <c r="T26" s="2033"/>
      <c r="U26" s="2033"/>
      <c r="V26" s="2033"/>
      <c r="W26" s="2033"/>
      <c r="X26" s="791">
        <v>94127451</v>
      </c>
      <c r="Y26" s="791">
        <v>96782544</v>
      </c>
      <c r="Z26" s="275">
        <v>118021</v>
      </c>
      <c r="AA26" s="275">
        <v>431051</v>
      </c>
      <c r="AB26" s="791">
        <v>686253</v>
      </c>
      <c r="AC26" s="791">
        <v>169146</v>
      </c>
      <c r="AD26" s="275">
        <v>159130</v>
      </c>
      <c r="AE26" s="275">
        <v>75000</v>
      </c>
      <c r="AF26" s="824">
        <f>SUM(X26:AD26)</f>
        <v>192473596</v>
      </c>
      <c r="AG26" s="824">
        <f t="shared" si="1"/>
        <v>95090855</v>
      </c>
      <c r="AH26" s="824">
        <f t="shared" si="2"/>
        <v>97457741</v>
      </c>
    </row>
    <row r="27" spans="1:34" x14ac:dyDescent="0.2">
      <c r="A27" s="2034" t="s">
        <v>504</v>
      </c>
      <c r="B27" s="2034"/>
      <c r="C27" s="2034"/>
      <c r="D27" s="2033" t="s">
        <v>505</v>
      </c>
      <c r="E27" s="2033"/>
      <c r="F27" s="2033"/>
      <c r="G27" s="2033"/>
      <c r="H27" s="2033"/>
      <c r="I27" s="2033"/>
      <c r="J27" s="2033"/>
      <c r="K27" s="2033"/>
      <c r="L27" s="2033"/>
      <c r="M27" s="2033"/>
      <c r="N27" s="2033"/>
      <c r="O27" s="2033"/>
      <c r="P27" s="2033"/>
      <c r="Q27" s="2033"/>
      <c r="R27" s="2033"/>
      <c r="S27" s="2033"/>
      <c r="T27" s="2033"/>
      <c r="U27" s="2033"/>
      <c r="V27" s="2033"/>
      <c r="W27" s="2033"/>
      <c r="X27" s="791">
        <v>164753049</v>
      </c>
      <c r="Y27" s="791">
        <v>200082079</v>
      </c>
      <c r="Z27" s="275">
        <v>3485756</v>
      </c>
      <c r="AA27" s="275">
        <v>3681600</v>
      </c>
      <c r="AB27" s="791">
        <v>3472885</v>
      </c>
      <c r="AC27" s="791">
        <v>1632841</v>
      </c>
      <c r="AD27" s="275">
        <v>619688</v>
      </c>
      <c r="AE27" s="275">
        <v>706435</v>
      </c>
      <c r="AF27" s="824">
        <f>SUM(X27:AD27)</f>
        <v>377727898</v>
      </c>
      <c r="AG27" s="824">
        <f t="shared" si="1"/>
        <v>172331378</v>
      </c>
      <c r="AH27" s="824">
        <f t="shared" si="2"/>
        <v>206102955</v>
      </c>
    </row>
    <row r="28" spans="1:34" ht="14.25" x14ac:dyDescent="0.2">
      <c r="A28" s="2032" t="s">
        <v>506</v>
      </c>
      <c r="B28" s="2032"/>
      <c r="C28" s="2032"/>
      <c r="D28" s="2033" t="s">
        <v>507</v>
      </c>
      <c r="E28" s="2033"/>
      <c r="F28" s="2033"/>
      <c r="G28" s="2033"/>
      <c r="H28" s="2033"/>
      <c r="I28" s="2033"/>
      <c r="J28" s="2033"/>
      <c r="K28" s="2033"/>
      <c r="L28" s="2033"/>
      <c r="M28" s="2033"/>
      <c r="N28" s="2033"/>
      <c r="O28" s="2033"/>
      <c r="P28" s="2033"/>
      <c r="Q28" s="2033"/>
      <c r="R28" s="2033"/>
      <c r="S28" s="2033"/>
      <c r="T28" s="2033"/>
      <c r="U28" s="2033"/>
      <c r="V28" s="2033"/>
      <c r="W28" s="2033"/>
      <c r="X28" s="791">
        <f>X9+X12+X17-X21-X25-X26-X27</f>
        <v>130164022</v>
      </c>
      <c r="Y28" s="791">
        <f t="shared" ref="Y28:AC28" si="7">Y9+Y12+Y17-Y21-Y25-Y26-Y27</f>
        <v>-80425538</v>
      </c>
      <c r="Z28" s="275">
        <f>Z9+Z17+-Z21-Z25-Z26-Z27</f>
        <v>-145174</v>
      </c>
      <c r="AA28" s="275">
        <f>AA9+AA12+AA17-AA21-AA25-AA26-AA27</f>
        <v>-1238985</v>
      </c>
      <c r="AB28" s="791">
        <f t="shared" si="7"/>
        <v>-1338463</v>
      </c>
      <c r="AC28" s="791">
        <f t="shared" si="7"/>
        <v>6611204</v>
      </c>
      <c r="AD28" s="275">
        <f>AD9+AD12+AD17-AD21-AD25-AD26-AD27</f>
        <v>-131428</v>
      </c>
      <c r="AE28" s="275">
        <f>AE9+AE12+AE17-AE21-AE25-AE26-AE27</f>
        <v>-635743</v>
      </c>
      <c r="AF28" s="824">
        <f>SUM(X28:AD28)</f>
        <v>53495638</v>
      </c>
      <c r="AG28" s="824">
        <f t="shared" si="1"/>
        <v>128548957</v>
      </c>
      <c r="AH28" s="824">
        <f t="shared" si="2"/>
        <v>-75689062</v>
      </c>
    </row>
    <row r="29" spans="1:34" x14ac:dyDescent="0.2">
      <c r="A29" s="2030" t="s">
        <v>470</v>
      </c>
      <c r="B29" s="2030"/>
      <c r="C29" s="2030"/>
      <c r="D29" s="2031" t="s">
        <v>508</v>
      </c>
      <c r="E29" s="2031"/>
      <c r="F29" s="2031"/>
      <c r="G29" s="2031"/>
      <c r="H29" s="2031"/>
      <c r="I29" s="2031"/>
      <c r="J29" s="2031"/>
      <c r="K29" s="2031"/>
      <c r="L29" s="2031"/>
      <c r="M29" s="2031"/>
      <c r="N29" s="2031"/>
      <c r="O29" s="2031"/>
      <c r="P29" s="2031"/>
      <c r="Q29" s="2031"/>
      <c r="R29" s="2031"/>
      <c r="S29" s="2031"/>
      <c r="T29" s="2031"/>
      <c r="U29" s="2031"/>
      <c r="V29" s="2031"/>
      <c r="W29" s="2031"/>
      <c r="X29" s="790">
        <v>470190</v>
      </c>
      <c r="Y29" s="461">
        <v>868161</v>
      </c>
      <c r="Z29" s="274">
        <v>807</v>
      </c>
      <c r="AA29" s="461"/>
      <c r="AB29" s="790">
        <v>1595</v>
      </c>
      <c r="AC29" s="461">
        <v>1827</v>
      </c>
      <c r="AD29" s="274">
        <v>679</v>
      </c>
      <c r="AE29" s="823">
        <v>615</v>
      </c>
      <c r="AF29" s="824">
        <f>SUM(X29:AE29)</f>
        <v>1343874</v>
      </c>
      <c r="AG29" s="824">
        <f t="shared" si="1"/>
        <v>473271</v>
      </c>
      <c r="AH29" s="824">
        <f t="shared" si="2"/>
        <v>870603</v>
      </c>
    </row>
    <row r="30" spans="1:34" x14ac:dyDescent="0.2">
      <c r="A30" s="2030" t="s">
        <v>466</v>
      </c>
      <c r="B30" s="2030"/>
      <c r="C30" s="2030"/>
      <c r="D30" s="2031" t="s">
        <v>509</v>
      </c>
      <c r="E30" s="2031"/>
      <c r="F30" s="2031"/>
      <c r="G30" s="2031"/>
      <c r="H30" s="2031"/>
      <c r="I30" s="2031"/>
      <c r="J30" s="2031"/>
      <c r="K30" s="2031"/>
      <c r="L30" s="2031"/>
      <c r="M30" s="2031"/>
      <c r="N30" s="2031"/>
      <c r="O30" s="2031"/>
      <c r="P30" s="2031"/>
      <c r="Q30" s="2031"/>
      <c r="R30" s="2031"/>
      <c r="S30" s="2031"/>
      <c r="T30" s="2031"/>
      <c r="U30" s="2031"/>
      <c r="V30" s="2031"/>
      <c r="W30" s="2031"/>
      <c r="X30" s="790">
        <v>0</v>
      </c>
      <c r="Y30" s="461">
        <v>55900</v>
      </c>
      <c r="Z30" s="274"/>
      <c r="AA30" s="461"/>
      <c r="AB30" s="790"/>
      <c r="AC30" s="461"/>
      <c r="AD30" s="274"/>
      <c r="AE30" s="823"/>
      <c r="AF30" s="824">
        <f t="shared" ref="AF30:AF44" si="8">SUM(X30:AD30)</f>
        <v>55900</v>
      </c>
      <c r="AG30" s="824">
        <f t="shared" si="1"/>
        <v>0</v>
      </c>
      <c r="AH30" s="824">
        <f t="shared" si="2"/>
        <v>55900</v>
      </c>
    </row>
    <row r="31" spans="1:34" x14ac:dyDescent="0.2">
      <c r="A31" s="2034" t="s">
        <v>510</v>
      </c>
      <c r="B31" s="2034"/>
      <c r="C31" s="2034"/>
      <c r="D31" s="2033" t="s">
        <v>511</v>
      </c>
      <c r="E31" s="2033"/>
      <c r="F31" s="2033"/>
      <c r="G31" s="2033"/>
      <c r="H31" s="2033"/>
      <c r="I31" s="2033"/>
      <c r="J31" s="2033"/>
      <c r="K31" s="2033"/>
      <c r="L31" s="2033"/>
      <c r="M31" s="2033"/>
      <c r="N31" s="2033"/>
      <c r="O31" s="2033"/>
      <c r="P31" s="2033"/>
      <c r="Q31" s="2033"/>
      <c r="R31" s="2033"/>
      <c r="S31" s="2033"/>
      <c r="T31" s="2033"/>
      <c r="U31" s="2033"/>
      <c r="V31" s="2033"/>
      <c r="W31" s="2033"/>
      <c r="X31" s="791">
        <f>SUM(X29:X30)</f>
        <v>470190</v>
      </c>
      <c r="Y31" s="791">
        <f>SUM(Y29:Y30)</f>
        <v>924061</v>
      </c>
      <c r="Z31" s="275">
        <f>SUM(Z29:Z30)</f>
        <v>807</v>
      </c>
      <c r="AA31" s="275">
        <v>1254</v>
      </c>
      <c r="AB31" s="791">
        <f>SUM(AB29:AB30)</f>
        <v>1595</v>
      </c>
      <c r="AC31" s="791">
        <f>SUM(AC29:AC30)</f>
        <v>1827</v>
      </c>
      <c r="AD31" s="275">
        <f>SUM(AD29:AD30)</f>
        <v>679</v>
      </c>
      <c r="AE31" s="275">
        <f>SUM(AE29:AE30)</f>
        <v>615</v>
      </c>
      <c r="AF31" s="824">
        <f t="shared" si="8"/>
        <v>1400413</v>
      </c>
      <c r="AG31" s="824">
        <f t="shared" si="1"/>
        <v>473271</v>
      </c>
      <c r="AH31" s="824">
        <f t="shared" si="2"/>
        <v>927757</v>
      </c>
    </row>
    <row r="32" spans="1:34" x14ac:dyDescent="0.2">
      <c r="A32" s="2030" t="s">
        <v>468</v>
      </c>
      <c r="B32" s="2030"/>
      <c r="C32" s="2030"/>
      <c r="D32" s="2031" t="s">
        <v>512</v>
      </c>
      <c r="E32" s="2031"/>
      <c r="F32" s="2031"/>
      <c r="G32" s="2031"/>
      <c r="H32" s="2031"/>
      <c r="I32" s="2031"/>
      <c r="J32" s="2031"/>
      <c r="K32" s="2031"/>
      <c r="L32" s="2031"/>
      <c r="M32" s="2031"/>
      <c r="N32" s="2031"/>
      <c r="O32" s="2031"/>
      <c r="P32" s="2031"/>
      <c r="Q32" s="2031"/>
      <c r="R32" s="2031"/>
      <c r="S32" s="2031"/>
      <c r="T32" s="2031"/>
      <c r="U32" s="2031"/>
      <c r="V32" s="2031"/>
      <c r="W32" s="2031"/>
      <c r="X32" s="790">
        <v>163773</v>
      </c>
      <c r="Y32" s="461">
        <v>442529</v>
      </c>
      <c r="Z32" s="274">
        <v>0</v>
      </c>
      <c r="AA32" s="461"/>
      <c r="AB32" s="790">
        <v>0</v>
      </c>
      <c r="AC32" s="461"/>
      <c r="AD32" s="274">
        <v>0</v>
      </c>
      <c r="AE32" s="823"/>
      <c r="AF32" s="824">
        <f t="shared" si="8"/>
        <v>606302</v>
      </c>
      <c r="AG32" s="824">
        <f t="shared" si="1"/>
        <v>163773</v>
      </c>
      <c r="AH32" s="824">
        <f t="shared" si="2"/>
        <v>442529</v>
      </c>
    </row>
    <row r="33" spans="1:34" x14ac:dyDescent="0.2">
      <c r="A33" s="2030" t="s">
        <v>470</v>
      </c>
      <c r="B33" s="2030"/>
      <c r="C33" s="2030"/>
      <c r="D33" s="2031" t="s">
        <v>513</v>
      </c>
      <c r="E33" s="2031"/>
      <c r="F33" s="2031"/>
      <c r="G33" s="2031"/>
      <c r="H33" s="2031"/>
      <c r="I33" s="2031"/>
      <c r="J33" s="2031"/>
      <c r="K33" s="2031"/>
      <c r="L33" s="2031"/>
      <c r="M33" s="2031"/>
      <c r="N33" s="2031"/>
      <c r="O33" s="2031"/>
      <c r="P33" s="2031"/>
      <c r="Q33" s="2031"/>
      <c r="R33" s="2031"/>
      <c r="S33" s="2031"/>
      <c r="T33" s="2031"/>
      <c r="U33" s="2031"/>
      <c r="V33" s="2031"/>
      <c r="W33" s="2031"/>
      <c r="X33" s="790"/>
      <c r="Y33" s="461"/>
      <c r="Z33" s="274"/>
      <c r="AA33" s="461"/>
      <c r="AB33" s="790"/>
      <c r="AC33" s="461"/>
      <c r="AD33" s="274"/>
      <c r="AE33" s="823"/>
      <c r="AF33" s="824">
        <f t="shared" si="8"/>
        <v>0</v>
      </c>
      <c r="AG33" s="824">
        <f t="shared" si="1"/>
        <v>0</v>
      </c>
      <c r="AH33" s="824">
        <f t="shared" si="2"/>
        <v>0</v>
      </c>
    </row>
    <row r="34" spans="1:34" x14ac:dyDescent="0.2">
      <c r="A34" s="2030" t="s">
        <v>471</v>
      </c>
      <c r="B34" s="2030"/>
      <c r="C34" s="2030"/>
      <c r="D34" s="2031" t="s">
        <v>514</v>
      </c>
      <c r="E34" s="2031"/>
      <c r="F34" s="2031"/>
      <c r="G34" s="2031"/>
      <c r="H34" s="2031"/>
      <c r="I34" s="2031"/>
      <c r="J34" s="2031"/>
      <c r="K34" s="2031"/>
      <c r="L34" s="2031"/>
      <c r="M34" s="2031"/>
      <c r="N34" s="2031"/>
      <c r="O34" s="2031"/>
      <c r="P34" s="2031"/>
      <c r="Q34" s="2031"/>
      <c r="R34" s="2031"/>
      <c r="S34" s="2031"/>
      <c r="T34" s="2031"/>
      <c r="U34" s="2031"/>
      <c r="V34" s="2031"/>
      <c r="W34" s="2031"/>
      <c r="X34" s="790"/>
      <c r="Y34" s="461"/>
      <c r="Z34" s="274"/>
      <c r="AA34" s="461"/>
      <c r="AB34" s="790"/>
      <c r="AC34" s="461"/>
      <c r="AD34" s="274"/>
      <c r="AE34" s="823"/>
      <c r="AF34" s="824">
        <f t="shared" si="8"/>
        <v>0</v>
      </c>
      <c r="AG34" s="824">
        <f t="shared" si="1"/>
        <v>0</v>
      </c>
      <c r="AH34" s="824">
        <f t="shared" si="2"/>
        <v>0</v>
      </c>
    </row>
    <row r="35" spans="1:34" x14ac:dyDescent="0.2">
      <c r="A35" s="2030" t="s">
        <v>515</v>
      </c>
      <c r="B35" s="2030"/>
      <c r="C35" s="2030"/>
      <c r="D35" s="2035" t="s">
        <v>516</v>
      </c>
      <c r="E35" s="2035"/>
      <c r="F35" s="2035"/>
      <c r="G35" s="2035"/>
      <c r="H35" s="2035"/>
      <c r="I35" s="2035"/>
      <c r="J35" s="2035"/>
      <c r="K35" s="2035"/>
      <c r="L35" s="2035"/>
      <c r="M35" s="2035"/>
      <c r="N35" s="2035"/>
      <c r="O35" s="2035"/>
      <c r="P35" s="2035"/>
      <c r="Q35" s="2035"/>
      <c r="R35" s="2035"/>
      <c r="S35" s="2035"/>
      <c r="T35" s="2035"/>
      <c r="U35" s="2035"/>
      <c r="V35" s="2035"/>
      <c r="W35" s="2035"/>
      <c r="X35" s="790"/>
      <c r="Y35" s="461"/>
      <c r="Z35" s="274"/>
      <c r="AA35" s="461"/>
      <c r="AB35" s="790"/>
      <c r="AC35" s="461"/>
      <c r="AD35" s="274"/>
      <c r="AE35" s="823"/>
      <c r="AF35" s="824">
        <f t="shared" si="8"/>
        <v>0</v>
      </c>
      <c r="AG35" s="824">
        <f t="shared" si="1"/>
        <v>0</v>
      </c>
      <c r="AH35" s="824">
        <f t="shared" si="2"/>
        <v>0</v>
      </c>
    </row>
    <row r="36" spans="1:34" x14ac:dyDescent="0.2">
      <c r="A36" s="2034" t="s">
        <v>517</v>
      </c>
      <c r="B36" s="2034"/>
      <c r="C36" s="2034"/>
      <c r="D36" s="2033" t="s">
        <v>518</v>
      </c>
      <c r="E36" s="2033"/>
      <c r="F36" s="2033"/>
      <c r="G36" s="2033"/>
      <c r="H36" s="2033"/>
      <c r="I36" s="2033"/>
      <c r="J36" s="2033"/>
      <c r="K36" s="2033"/>
      <c r="L36" s="2033"/>
      <c r="M36" s="2033"/>
      <c r="N36" s="2033"/>
      <c r="O36" s="2033"/>
      <c r="P36" s="2033"/>
      <c r="Q36" s="2033"/>
      <c r="R36" s="2033"/>
      <c r="S36" s="2033"/>
      <c r="T36" s="2033"/>
      <c r="U36" s="2033"/>
      <c r="V36" s="2033"/>
      <c r="W36" s="2033"/>
      <c r="X36" s="791">
        <f>SUM(X32:X34)</f>
        <v>163773</v>
      </c>
      <c r="Y36" s="461">
        <f>Y32</f>
        <v>442529</v>
      </c>
      <c r="Z36" s="275">
        <f>SUM(Z32:Z34)</f>
        <v>0</v>
      </c>
      <c r="AA36" s="461"/>
      <c r="AB36" s="791">
        <f>SUM(AB32:AB34)</f>
        <v>0</v>
      </c>
      <c r="AC36" s="461"/>
      <c r="AD36" s="275">
        <f>SUM(AD32:AD34)</f>
        <v>0</v>
      </c>
      <c r="AE36" s="823"/>
      <c r="AF36" s="824">
        <f t="shared" si="8"/>
        <v>606302</v>
      </c>
      <c r="AG36" s="824">
        <f t="shared" si="1"/>
        <v>163773</v>
      </c>
      <c r="AH36" s="824">
        <f t="shared" si="2"/>
        <v>442529</v>
      </c>
    </row>
    <row r="37" spans="1:34" ht="14.25" x14ac:dyDescent="0.2">
      <c r="A37" s="2032" t="s">
        <v>519</v>
      </c>
      <c r="B37" s="2032"/>
      <c r="C37" s="2032"/>
      <c r="D37" s="2033" t="s">
        <v>520</v>
      </c>
      <c r="E37" s="2033"/>
      <c r="F37" s="2033"/>
      <c r="G37" s="2033"/>
      <c r="H37" s="2033"/>
      <c r="I37" s="2033"/>
      <c r="J37" s="2033"/>
      <c r="K37" s="2033"/>
      <c r="L37" s="2033"/>
      <c r="M37" s="2033"/>
      <c r="N37" s="2033"/>
      <c r="O37" s="2033"/>
      <c r="P37" s="2033"/>
      <c r="Q37" s="2033"/>
      <c r="R37" s="2033"/>
      <c r="S37" s="2033"/>
      <c r="T37" s="2033"/>
      <c r="U37" s="2033"/>
      <c r="V37" s="2033"/>
      <c r="W37" s="2033"/>
      <c r="X37" s="791">
        <f>X31-X36</f>
        <v>306417</v>
      </c>
      <c r="Y37" s="791">
        <f t="shared" ref="Y37:AE37" si="9">Y31-Y36</f>
        <v>481532</v>
      </c>
      <c r="Z37" s="275">
        <f t="shared" si="9"/>
        <v>807</v>
      </c>
      <c r="AA37" s="275">
        <f t="shared" si="9"/>
        <v>1254</v>
      </c>
      <c r="AB37" s="791">
        <f t="shared" si="9"/>
        <v>1595</v>
      </c>
      <c r="AC37" s="791">
        <f t="shared" si="9"/>
        <v>1827</v>
      </c>
      <c r="AD37" s="275">
        <f t="shared" si="9"/>
        <v>679</v>
      </c>
      <c r="AE37" s="275">
        <f t="shared" si="9"/>
        <v>615</v>
      </c>
      <c r="AF37" s="824">
        <f t="shared" si="8"/>
        <v>794111</v>
      </c>
      <c r="AG37" s="824">
        <f t="shared" si="1"/>
        <v>309498</v>
      </c>
      <c r="AH37" s="824">
        <f t="shared" si="2"/>
        <v>485228</v>
      </c>
    </row>
    <row r="38" spans="1:34" ht="14.25" x14ac:dyDescent="0.2">
      <c r="A38" s="2032" t="s">
        <v>521</v>
      </c>
      <c r="B38" s="2032"/>
      <c r="C38" s="2032"/>
      <c r="D38" s="2033" t="s">
        <v>522</v>
      </c>
      <c r="E38" s="2033"/>
      <c r="F38" s="2033"/>
      <c r="G38" s="2033"/>
      <c r="H38" s="2033"/>
      <c r="I38" s="2033"/>
      <c r="J38" s="2033"/>
      <c r="K38" s="2033"/>
      <c r="L38" s="2033"/>
      <c r="M38" s="2033"/>
      <c r="N38" s="2033"/>
      <c r="O38" s="2033"/>
      <c r="P38" s="2033"/>
      <c r="Q38" s="2033"/>
      <c r="R38" s="2033"/>
      <c r="S38" s="2033"/>
      <c r="T38" s="2033"/>
      <c r="U38" s="2033"/>
      <c r="V38" s="2033"/>
      <c r="W38" s="2033"/>
      <c r="X38" s="791">
        <f t="shared" ref="X38:AE38" si="10">X28+X37</f>
        <v>130470439</v>
      </c>
      <c r="Y38" s="791">
        <f t="shared" si="10"/>
        <v>-79944006</v>
      </c>
      <c r="Z38" s="275">
        <f t="shared" si="10"/>
        <v>-144367</v>
      </c>
      <c r="AA38" s="275">
        <f t="shared" si="10"/>
        <v>-1237731</v>
      </c>
      <c r="AB38" s="791">
        <f t="shared" si="10"/>
        <v>-1336868</v>
      </c>
      <c r="AC38" s="791">
        <f t="shared" si="10"/>
        <v>6613031</v>
      </c>
      <c r="AD38" s="275">
        <f t="shared" si="10"/>
        <v>-130749</v>
      </c>
      <c r="AE38" s="275">
        <f t="shared" si="10"/>
        <v>-635128</v>
      </c>
      <c r="AF38" s="824">
        <f t="shared" si="8"/>
        <v>54289749</v>
      </c>
      <c r="AG38" s="824">
        <f t="shared" si="1"/>
        <v>128858455</v>
      </c>
      <c r="AH38" s="824">
        <f t="shared" si="2"/>
        <v>-75203834</v>
      </c>
    </row>
    <row r="39" spans="1:34" x14ac:dyDescent="0.2">
      <c r="A39" s="2030" t="s">
        <v>472</v>
      </c>
      <c r="B39" s="2030"/>
      <c r="C39" s="2030"/>
      <c r="D39" s="2031" t="s">
        <v>523</v>
      </c>
      <c r="E39" s="2031"/>
      <c r="F39" s="2031"/>
      <c r="G39" s="2031"/>
      <c r="H39" s="2031"/>
      <c r="I39" s="2031"/>
      <c r="J39" s="2031"/>
      <c r="K39" s="2031"/>
      <c r="L39" s="2031"/>
      <c r="M39" s="2031"/>
      <c r="N39" s="2031"/>
      <c r="O39" s="2031"/>
      <c r="P39" s="2031"/>
      <c r="Q39" s="2031"/>
      <c r="R39" s="2031"/>
      <c r="S39" s="2031"/>
      <c r="T39" s="2031"/>
      <c r="U39" s="2031"/>
      <c r="V39" s="2031"/>
      <c r="W39" s="2031"/>
      <c r="X39" s="790">
        <v>0</v>
      </c>
      <c r="Y39" s="461"/>
      <c r="Z39" s="274"/>
      <c r="AA39" s="461"/>
      <c r="AB39" s="790"/>
      <c r="AC39" s="461"/>
      <c r="AD39" s="274"/>
      <c r="AE39" s="823"/>
      <c r="AF39" s="824">
        <f t="shared" si="8"/>
        <v>0</v>
      </c>
      <c r="AG39" s="824">
        <f t="shared" si="1"/>
        <v>0</v>
      </c>
      <c r="AH39" s="824">
        <f t="shared" si="2"/>
        <v>0</v>
      </c>
    </row>
    <row r="40" spans="1:34" x14ac:dyDescent="0.2">
      <c r="A40" s="2030" t="s">
        <v>473</v>
      </c>
      <c r="B40" s="2030"/>
      <c r="C40" s="2030"/>
      <c r="D40" s="2031" t="s">
        <v>524</v>
      </c>
      <c r="E40" s="2031"/>
      <c r="F40" s="2031"/>
      <c r="G40" s="2031"/>
      <c r="H40" s="2031"/>
      <c r="I40" s="2031"/>
      <c r="J40" s="2031"/>
      <c r="K40" s="2031"/>
      <c r="L40" s="2031"/>
      <c r="M40" s="2031"/>
      <c r="N40" s="2031"/>
      <c r="O40" s="2031"/>
      <c r="P40" s="2031"/>
      <c r="Q40" s="2031"/>
      <c r="R40" s="2031"/>
      <c r="S40" s="2031"/>
      <c r="T40" s="2031"/>
      <c r="U40" s="2031"/>
      <c r="V40" s="2031"/>
      <c r="W40" s="2031"/>
      <c r="X40" s="790"/>
      <c r="Y40" s="461"/>
      <c r="Z40" s="274"/>
      <c r="AA40" s="461"/>
      <c r="AB40" s="790"/>
      <c r="AC40" s="461"/>
      <c r="AD40" s="274"/>
      <c r="AE40" s="823"/>
      <c r="AF40" s="824">
        <f t="shared" si="8"/>
        <v>0</v>
      </c>
      <c r="AG40" s="824">
        <f t="shared" si="1"/>
        <v>0</v>
      </c>
      <c r="AH40" s="824">
        <f t="shared" si="2"/>
        <v>0</v>
      </c>
    </row>
    <row r="41" spans="1:34" x14ac:dyDescent="0.2">
      <c r="A41" s="2034" t="s">
        <v>525</v>
      </c>
      <c r="B41" s="2034"/>
      <c r="C41" s="2034"/>
      <c r="D41" s="2033" t="s">
        <v>526</v>
      </c>
      <c r="E41" s="2033"/>
      <c r="F41" s="2033"/>
      <c r="G41" s="2033"/>
      <c r="H41" s="2033"/>
      <c r="I41" s="2033"/>
      <c r="J41" s="2033"/>
      <c r="K41" s="2033"/>
      <c r="L41" s="2033"/>
      <c r="M41" s="2033"/>
      <c r="N41" s="2033"/>
      <c r="O41" s="2033"/>
      <c r="P41" s="2033"/>
      <c r="Q41" s="2033"/>
      <c r="R41" s="2033"/>
      <c r="S41" s="2033"/>
      <c r="T41" s="2033"/>
      <c r="U41" s="2033"/>
      <c r="V41" s="2033"/>
      <c r="W41" s="2033"/>
      <c r="X41" s="791">
        <f>SUM(X39:X40)</f>
        <v>0</v>
      </c>
      <c r="Y41" s="461"/>
      <c r="Z41" s="275">
        <f>SUM(Z39:Z40)</f>
        <v>0</v>
      </c>
      <c r="AA41" s="461"/>
      <c r="AB41" s="791"/>
      <c r="AC41" s="461"/>
      <c r="AD41" s="275">
        <f>SUM(AD39:AD40)</f>
        <v>0</v>
      </c>
      <c r="AE41" s="823"/>
      <c r="AF41" s="824">
        <f t="shared" si="8"/>
        <v>0</v>
      </c>
      <c r="AG41" s="824">
        <f t="shared" si="1"/>
        <v>0</v>
      </c>
      <c r="AH41" s="824">
        <f t="shared" si="2"/>
        <v>0</v>
      </c>
    </row>
    <row r="42" spans="1:34" x14ac:dyDescent="0.2">
      <c r="A42" s="2034" t="s">
        <v>527</v>
      </c>
      <c r="B42" s="2034"/>
      <c r="C42" s="2034"/>
      <c r="D42" s="2033" t="s">
        <v>528</v>
      </c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791">
        <v>0</v>
      </c>
      <c r="Y42" s="461"/>
      <c r="Z42" s="275"/>
      <c r="AA42" s="461"/>
      <c r="AB42" s="791"/>
      <c r="AC42" s="461"/>
      <c r="AD42" s="275"/>
      <c r="AE42" s="823"/>
      <c r="AF42" s="824">
        <f t="shared" si="8"/>
        <v>0</v>
      </c>
      <c r="AG42" s="824">
        <f t="shared" si="1"/>
        <v>0</v>
      </c>
      <c r="AH42" s="824">
        <f t="shared" si="2"/>
        <v>0</v>
      </c>
    </row>
    <row r="43" spans="1:34" ht="14.25" x14ac:dyDescent="0.2">
      <c r="A43" s="2032" t="s">
        <v>529</v>
      </c>
      <c r="B43" s="2032"/>
      <c r="C43" s="2032"/>
      <c r="D43" s="2033" t="s">
        <v>530</v>
      </c>
      <c r="E43" s="2033"/>
      <c r="F43" s="2033"/>
      <c r="G43" s="2033"/>
      <c r="H43" s="2033"/>
      <c r="I43" s="2033"/>
      <c r="J43" s="2033"/>
      <c r="K43" s="2033"/>
      <c r="L43" s="2033"/>
      <c r="M43" s="2033"/>
      <c r="N43" s="2033"/>
      <c r="O43" s="2033"/>
      <c r="P43" s="2033"/>
      <c r="Q43" s="2033"/>
      <c r="R43" s="2033"/>
      <c r="S43" s="2033"/>
      <c r="T43" s="2033"/>
      <c r="U43" s="2033"/>
      <c r="V43" s="2033"/>
      <c r="W43" s="2033"/>
      <c r="X43" s="791">
        <f>X41-X42</f>
        <v>0</v>
      </c>
      <c r="Y43" s="461"/>
      <c r="Z43" s="275">
        <f>Z41-Z42</f>
        <v>0</v>
      </c>
      <c r="AA43" s="461"/>
      <c r="AB43" s="791">
        <f>AB41-AB42</f>
        <v>0</v>
      </c>
      <c r="AC43" s="461"/>
      <c r="AD43" s="275">
        <f>AD41-AD42</f>
        <v>0</v>
      </c>
      <c r="AE43" s="823"/>
      <c r="AF43" s="824">
        <f t="shared" si="8"/>
        <v>0</v>
      </c>
      <c r="AG43" s="824">
        <f t="shared" si="1"/>
        <v>0</v>
      </c>
      <c r="AH43" s="824">
        <f t="shared" si="2"/>
        <v>0</v>
      </c>
    </row>
    <row r="44" spans="1:34" ht="14.25" x14ac:dyDescent="0.2">
      <c r="A44" s="2032" t="s">
        <v>531</v>
      </c>
      <c r="B44" s="2032"/>
      <c r="C44" s="2032"/>
      <c r="D44" s="2033" t="s">
        <v>532</v>
      </c>
      <c r="E44" s="2033"/>
      <c r="F44" s="2033"/>
      <c r="G44" s="2033"/>
      <c r="H44" s="2033"/>
      <c r="I44" s="2033"/>
      <c r="J44" s="2033"/>
      <c r="K44" s="2033"/>
      <c r="L44" s="2033"/>
      <c r="M44" s="2033"/>
      <c r="N44" s="2033"/>
      <c r="O44" s="2033"/>
      <c r="P44" s="2033"/>
      <c r="Q44" s="2033"/>
      <c r="R44" s="2033"/>
      <c r="S44" s="2033"/>
      <c r="T44" s="2033"/>
      <c r="U44" s="2033"/>
      <c r="V44" s="2033"/>
      <c r="W44" s="2033"/>
      <c r="X44" s="791">
        <f>X38+X43</f>
        <v>130470439</v>
      </c>
      <c r="Y44" s="791">
        <f t="shared" ref="Y44:AE44" si="11">Y38+Y43</f>
        <v>-79944006</v>
      </c>
      <c r="Z44" s="275">
        <f t="shared" si="11"/>
        <v>-144367</v>
      </c>
      <c r="AA44" s="275">
        <f t="shared" si="11"/>
        <v>-1237731</v>
      </c>
      <c r="AB44" s="791">
        <f t="shared" si="11"/>
        <v>-1336868</v>
      </c>
      <c r="AC44" s="791">
        <f t="shared" si="11"/>
        <v>6613031</v>
      </c>
      <c r="AD44" s="275">
        <f t="shared" si="11"/>
        <v>-130749</v>
      </c>
      <c r="AE44" s="275">
        <f t="shared" si="11"/>
        <v>-635128</v>
      </c>
      <c r="AF44" s="824">
        <f t="shared" si="8"/>
        <v>54289749</v>
      </c>
      <c r="AG44" s="824">
        <f t="shared" si="1"/>
        <v>128858455</v>
      </c>
      <c r="AH44" s="824">
        <f t="shared" si="2"/>
        <v>-75203834</v>
      </c>
    </row>
  </sheetData>
  <mergeCells count="87">
    <mergeCell ref="A13:C13"/>
    <mergeCell ref="AD3:AE4"/>
    <mergeCell ref="A1:AH1"/>
    <mergeCell ref="A2:AH2"/>
    <mergeCell ref="A3:C4"/>
    <mergeCell ref="D3:W4"/>
    <mergeCell ref="AF3:AH4"/>
    <mergeCell ref="X3:Y4"/>
    <mergeCell ref="Z3:AA4"/>
    <mergeCell ref="AB3:AC4"/>
    <mergeCell ref="D5:I5"/>
    <mergeCell ref="A12:C12"/>
    <mergeCell ref="D12:W12"/>
    <mergeCell ref="A10:C10"/>
    <mergeCell ref="D10:W10"/>
    <mergeCell ref="A11:C11"/>
    <mergeCell ref="D11:W11"/>
    <mergeCell ref="A6:C6"/>
    <mergeCell ref="D6:W6"/>
    <mergeCell ref="D8:W8"/>
    <mergeCell ref="A9:C9"/>
    <mergeCell ref="D9:W9"/>
    <mergeCell ref="A7:C7"/>
    <mergeCell ref="D7:W7"/>
    <mergeCell ref="A8:C8"/>
    <mergeCell ref="D13:W13"/>
    <mergeCell ref="A20:C20"/>
    <mergeCell ref="D20:W20"/>
    <mergeCell ref="A21:C21"/>
    <mergeCell ref="D21:W21"/>
    <mergeCell ref="A18:C18"/>
    <mergeCell ref="D18:W18"/>
    <mergeCell ref="A19:C19"/>
    <mergeCell ref="D19:W19"/>
    <mergeCell ref="A17:C17"/>
    <mergeCell ref="D17:W17"/>
    <mergeCell ref="A14:C14"/>
    <mergeCell ref="D14:W14"/>
    <mergeCell ref="A16:C16"/>
    <mergeCell ref="D16:W16"/>
    <mergeCell ref="D15:I15"/>
    <mergeCell ref="A24:C24"/>
    <mergeCell ref="D24:W24"/>
    <mergeCell ref="A25:C25"/>
    <mergeCell ref="D25:W25"/>
    <mergeCell ref="A22:C22"/>
    <mergeCell ref="D22:W22"/>
    <mergeCell ref="A23:C23"/>
    <mergeCell ref="D23:W23"/>
    <mergeCell ref="A28:C28"/>
    <mergeCell ref="D28:W28"/>
    <mergeCell ref="A29:C29"/>
    <mergeCell ref="D29:W29"/>
    <mergeCell ref="A26:C26"/>
    <mergeCell ref="D26:W26"/>
    <mergeCell ref="A27:C27"/>
    <mergeCell ref="D27:W27"/>
    <mergeCell ref="A31:C31"/>
    <mergeCell ref="D31:W31"/>
    <mergeCell ref="A32:C32"/>
    <mergeCell ref="D32:W32"/>
    <mergeCell ref="A30:C30"/>
    <mergeCell ref="D30:W30"/>
    <mergeCell ref="A35:C35"/>
    <mergeCell ref="D35:W35"/>
    <mergeCell ref="A36:C36"/>
    <mergeCell ref="D36:W36"/>
    <mergeCell ref="A33:C33"/>
    <mergeCell ref="D33:W33"/>
    <mergeCell ref="A34:C34"/>
    <mergeCell ref="D34:W34"/>
    <mergeCell ref="A43:C43"/>
    <mergeCell ref="D43:W43"/>
    <mergeCell ref="A44:C44"/>
    <mergeCell ref="D44:W44"/>
    <mergeCell ref="A41:C41"/>
    <mergeCell ref="D41:W41"/>
    <mergeCell ref="A42:C42"/>
    <mergeCell ref="D42:W42"/>
    <mergeCell ref="A39:C39"/>
    <mergeCell ref="D39:W39"/>
    <mergeCell ref="A40:C40"/>
    <mergeCell ref="D40:W40"/>
    <mergeCell ref="A37:C37"/>
    <mergeCell ref="D37:W37"/>
    <mergeCell ref="A38:C38"/>
    <mergeCell ref="D38:W3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4"/>
  <sheetViews>
    <sheetView workbookViewId="0">
      <selection activeCell="A4" sqref="A4:D17"/>
    </sheetView>
  </sheetViews>
  <sheetFormatPr defaultRowHeight="12.75" x14ac:dyDescent="0.2"/>
  <cols>
    <col min="2" max="2" width="17" customWidth="1"/>
    <col min="3" max="3" width="19" style="1026" customWidth="1"/>
    <col min="4" max="4" width="17.7109375" style="1026" customWidth="1"/>
  </cols>
  <sheetData>
    <row r="1" spans="1:4" x14ac:dyDescent="0.2">
      <c r="A1" s="91"/>
      <c r="B1" s="91"/>
    </row>
    <row r="2" spans="1:4" ht="25.5" customHeight="1" x14ac:dyDescent="0.2">
      <c r="A2" s="91"/>
      <c r="B2" s="91"/>
    </row>
    <row r="3" spans="1:4" ht="71.25" customHeight="1" thickBot="1" x14ac:dyDescent="0.25">
      <c r="A3" s="91"/>
      <c r="B3" s="91"/>
    </row>
    <row r="4" spans="1:4" ht="22.5" customHeight="1" x14ac:dyDescent="0.2">
      <c r="A4" s="2049" t="s">
        <v>13</v>
      </c>
      <c r="B4" s="2050"/>
      <c r="C4" s="2053" t="s">
        <v>623</v>
      </c>
      <c r="D4" s="2054"/>
    </row>
    <row r="5" spans="1:4" ht="55.5" customHeight="1" x14ac:dyDescent="0.2">
      <c r="A5" s="2051"/>
      <c r="B5" s="2052"/>
      <c r="C5" s="1057" t="s">
        <v>533</v>
      </c>
      <c r="D5" s="1058" t="s">
        <v>534</v>
      </c>
    </row>
    <row r="6" spans="1:4" ht="87.75" x14ac:dyDescent="0.2">
      <c r="A6" s="1059" t="s">
        <v>82</v>
      </c>
      <c r="B6" s="1060" t="s">
        <v>695</v>
      </c>
      <c r="C6" s="1066">
        <f>0</f>
        <v>0</v>
      </c>
      <c r="D6" s="1067">
        <v>0</v>
      </c>
    </row>
    <row r="7" spans="1:4" ht="72" x14ac:dyDescent="0.25">
      <c r="A7" s="1059" t="s">
        <v>83</v>
      </c>
      <c r="B7" s="1060" t="s">
        <v>535</v>
      </c>
      <c r="C7" s="1076">
        <v>0</v>
      </c>
      <c r="D7" s="1077">
        <v>0</v>
      </c>
    </row>
    <row r="8" spans="1:4" ht="99.75" x14ac:dyDescent="0.2">
      <c r="A8" s="1059" t="s">
        <v>359</v>
      </c>
      <c r="B8" s="1061" t="s">
        <v>591</v>
      </c>
      <c r="C8" s="1078">
        <f>C10+C11</f>
        <v>30</v>
      </c>
      <c r="D8" s="1089">
        <f>D10+D11</f>
        <v>709797</v>
      </c>
    </row>
    <row r="9" spans="1:4" ht="15" x14ac:dyDescent="0.25">
      <c r="A9" s="1062" t="s">
        <v>592</v>
      </c>
      <c r="B9" s="1063" t="s">
        <v>536</v>
      </c>
      <c r="C9" s="1079"/>
      <c r="D9" s="1080"/>
    </row>
    <row r="10" spans="1:4" ht="45" x14ac:dyDescent="0.25">
      <c r="A10" s="1062"/>
      <c r="B10" s="1064" t="s">
        <v>696</v>
      </c>
      <c r="C10" s="1081">
        <v>2</v>
      </c>
      <c r="D10" s="1082">
        <v>347625</v>
      </c>
    </row>
    <row r="11" spans="1:4" ht="15" x14ac:dyDescent="0.25">
      <c r="A11" s="1062"/>
      <c r="B11" s="1065" t="s">
        <v>697</v>
      </c>
      <c r="C11" s="1081">
        <v>28</v>
      </c>
      <c r="D11" s="1082">
        <v>362172</v>
      </c>
    </row>
    <row r="12" spans="1:4" s="670" customFormat="1" ht="108" x14ac:dyDescent="0.2">
      <c r="A12" s="1069" t="s">
        <v>361</v>
      </c>
      <c r="B12" s="1070" t="s">
        <v>593</v>
      </c>
      <c r="C12" s="1071">
        <v>42</v>
      </c>
      <c r="D12" s="1090">
        <v>566000</v>
      </c>
    </row>
    <row r="13" spans="1:4" s="670" customFormat="1" x14ac:dyDescent="0.2">
      <c r="A13" s="1068" t="s">
        <v>2</v>
      </c>
      <c r="B13" s="1072" t="s">
        <v>701</v>
      </c>
      <c r="C13" s="1083"/>
      <c r="D13" s="1084"/>
    </row>
    <row r="14" spans="1:4" ht="92.25" customHeight="1" x14ac:dyDescent="0.2">
      <c r="A14" s="1068"/>
      <c r="B14" s="1073" t="s">
        <v>594</v>
      </c>
      <c r="C14" s="1083">
        <v>37</v>
      </c>
      <c r="D14" s="1084">
        <v>486000</v>
      </c>
    </row>
    <row r="15" spans="1:4" x14ac:dyDescent="0.2">
      <c r="A15" s="1074">
        <v>2</v>
      </c>
      <c r="B15" s="1075" t="s">
        <v>595</v>
      </c>
      <c r="C15" s="1085"/>
      <c r="D15" s="1086"/>
    </row>
    <row r="16" spans="1:4" ht="24" x14ac:dyDescent="0.2">
      <c r="A16" s="1074"/>
      <c r="B16" s="1073" t="s">
        <v>594</v>
      </c>
      <c r="C16" s="1085">
        <v>5</v>
      </c>
      <c r="D16" s="1086">
        <v>80000</v>
      </c>
    </row>
    <row r="17" spans="1:4" ht="15.75" thickBot="1" x14ac:dyDescent="0.3">
      <c r="A17" s="2055" t="s">
        <v>702</v>
      </c>
      <c r="B17" s="2056"/>
      <c r="C17" s="1087">
        <f>C10+C6+C12</f>
        <v>44</v>
      </c>
      <c r="D17" s="1091">
        <f>D10+D6+D12</f>
        <v>913625</v>
      </c>
    </row>
    <row r="18" spans="1:4" ht="51" customHeight="1" x14ac:dyDescent="0.2">
      <c r="A18" s="392" t="s">
        <v>537</v>
      </c>
      <c r="B18" s="393"/>
      <c r="C18" s="1088"/>
      <c r="D18" s="1088"/>
    </row>
    <row r="19" spans="1:4" x14ac:dyDescent="0.2">
      <c r="A19" s="2057" t="s">
        <v>596</v>
      </c>
      <c r="B19" s="2058"/>
      <c r="C19" s="2058"/>
      <c r="D19" s="2058"/>
    </row>
    <row r="20" spans="1:4" ht="12.75" customHeight="1" x14ac:dyDescent="0.2">
      <c r="A20" s="2059" t="s">
        <v>698</v>
      </c>
      <c r="B20" s="2059"/>
      <c r="C20" s="2059"/>
      <c r="D20" s="2059"/>
    </row>
    <row r="21" spans="1:4" ht="12.75" customHeight="1" x14ac:dyDescent="0.2">
      <c r="A21" s="2059" t="s">
        <v>597</v>
      </c>
      <c r="B21" s="2059"/>
      <c r="C21" s="2059"/>
      <c r="D21" s="2059"/>
    </row>
    <row r="22" spans="1:4" ht="12.75" customHeight="1" x14ac:dyDescent="0.2">
      <c r="A22" s="2047" t="s">
        <v>699</v>
      </c>
      <c r="B22" s="2048"/>
      <c r="C22" s="2048"/>
      <c r="D22" s="2048"/>
    </row>
    <row r="23" spans="1:4" x14ac:dyDescent="0.2">
      <c r="A23" s="2047" t="s">
        <v>700</v>
      </c>
      <c r="B23" s="2048"/>
      <c r="C23" s="2048"/>
      <c r="D23" s="2048"/>
    </row>
    <row r="24" spans="1:4" x14ac:dyDescent="0.2">
      <c r="A24" s="2048"/>
      <c r="B24" s="2048"/>
      <c r="C24" s="2048"/>
      <c r="D24" s="2048"/>
    </row>
  </sheetData>
  <mergeCells count="9">
    <mergeCell ref="A23:D23"/>
    <mergeCell ref="A24:D24"/>
    <mergeCell ref="A22:D22"/>
    <mergeCell ref="A4:B5"/>
    <mergeCell ref="C4:D4"/>
    <mergeCell ref="A17:B17"/>
    <mergeCell ref="A19:D19"/>
    <mergeCell ref="A20:D20"/>
    <mergeCell ref="A21:D2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8"/>
  <sheetViews>
    <sheetView workbookViewId="0">
      <selection activeCell="C7" sqref="C7"/>
    </sheetView>
  </sheetViews>
  <sheetFormatPr defaultRowHeight="12.75" x14ac:dyDescent="0.2"/>
  <cols>
    <col min="1" max="1" width="17.42578125" customWidth="1"/>
    <col min="2" max="2" width="11.42578125" customWidth="1"/>
    <col min="3" max="3" width="21.5703125" customWidth="1"/>
    <col min="4" max="4" width="28.28515625" customWidth="1"/>
  </cols>
  <sheetData>
    <row r="1" spans="1:4" x14ac:dyDescent="0.2">
      <c r="A1" s="278"/>
      <c r="B1" s="278"/>
      <c r="C1" s="278"/>
      <c r="D1" s="278"/>
    </row>
    <row r="2" spans="1:4" ht="96" customHeight="1" x14ac:dyDescent="0.2">
      <c r="A2" s="278"/>
      <c r="B2" s="278"/>
      <c r="C2" s="278"/>
      <c r="D2" s="279" t="s">
        <v>296</v>
      </c>
    </row>
    <row r="3" spans="1:4" x14ac:dyDescent="0.2">
      <c r="A3" s="2060" t="s">
        <v>13</v>
      </c>
      <c r="B3" s="2062" t="s">
        <v>538</v>
      </c>
      <c r="C3" s="2062" t="s">
        <v>539</v>
      </c>
      <c r="D3" s="2062" t="s">
        <v>540</v>
      </c>
    </row>
    <row r="4" spans="1:4" x14ac:dyDescent="0.2">
      <c r="A4" s="2061"/>
      <c r="B4" s="2063"/>
      <c r="C4" s="2063"/>
      <c r="D4" s="2063"/>
    </row>
    <row r="5" spans="1:4" x14ac:dyDescent="0.2">
      <c r="A5" s="2064" t="s">
        <v>541</v>
      </c>
      <c r="B5" s="2065"/>
      <c r="C5" s="2065"/>
      <c r="D5" s="2066"/>
    </row>
    <row r="6" spans="1:4" ht="36" x14ac:dyDescent="0.2">
      <c r="A6" s="715" t="s">
        <v>542</v>
      </c>
      <c r="B6" s="281">
        <v>2018</v>
      </c>
      <c r="C6" s="282">
        <v>30000000</v>
      </c>
      <c r="D6" s="281" t="s">
        <v>543</v>
      </c>
    </row>
    <row r="7" spans="1:4" x14ac:dyDescent="0.2">
      <c r="A7" s="280"/>
      <c r="B7" s="281"/>
      <c r="C7" s="282"/>
      <c r="D7" s="281"/>
    </row>
    <row r="8" spans="1:4" x14ac:dyDescent="0.2">
      <c r="A8" s="283"/>
      <c r="B8" s="284"/>
      <c r="C8" s="284"/>
      <c r="D8" s="284"/>
    </row>
  </sheetData>
  <mergeCells count="5">
    <mergeCell ref="A3:A4"/>
    <mergeCell ref="B3:B4"/>
    <mergeCell ref="C3:C4"/>
    <mergeCell ref="D3:D4"/>
    <mergeCell ref="A5:D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4"/>
  <sheetViews>
    <sheetView topLeftCell="A31" workbookViewId="0">
      <selection activeCell="A34" sqref="A34:F34"/>
    </sheetView>
  </sheetViews>
  <sheetFormatPr defaultRowHeight="12.75" x14ac:dyDescent="0.2"/>
  <cols>
    <col min="1" max="1" width="7.28515625" customWidth="1"/>
    <col min="2" max="2" width="25.28515625" customWidth="1"/>
    <col min="3" max="3" width="16.5703125" customWidth="1"/>
    <col min="4" max="4" width="16.42578125" customWidth="1"/>
    <col min="5" max="5" width="16.7109375" customWidth="1"/>
    <col min="6" max="6" width="16.42578125" customWidth="1"/>
    <col min="7" max="7" width="15.85546875" customWidth="1"/>
    <col min="8" max="8" width="14.5703125" customWidth="1"/>
    <col min="9" max="9" width="14.140625" customWidth="1"/>
    <col min="11" max="11" width="10.85546875" customWidth="1"/>
  </cols>
  <sheetData>
    <row r="1" spans="1:11" ht="67.5" customHeight="1" x14ac:dyDescent="0.2">
      <c r="A1" s="2067"/>
      <c r="B1" s="2068"/>
      <c r="C1" s="2068"/>
      <c r="D1" s="2068"/>
      <c r="E1" s="2068"/>
      <c r="F1" s="2068"/>
      <c r="G1" s="2068"/>
      <c r="H1" s="2068"/>
      <c r="I1" s="2068"/>
      <c r="J1" s="2068"/>
      <c r="K1" s="91"/>
    </row>
    <row r="2" spans="1:11" ht="29.25" customHeight="1" x14ac:dyDescent="0.2">
      <c r="A2" s="2069" t="s">
        <v>544</v>
      </c>
      <c r="B2" s="2070"/>
      <c r="C2" s="2070"/>
      <c r="D2" s="2070"/>
      <c r="E2" s="2070"/>
      <c r="F2" s="2070"/>
      <c r="G2" s="2070"/>
      <c r="H2" s="2070"/>
      <c r="I2" s="2070"/>
      <c r="J2" s="2070"/>
      <c r="K2" s="2070"/>
    </row>
    <row r="3" spans="1:11" ht="156.75" x14ac:dyDescent="0.2">
      <c r="A3" s="289"/>
      <c r="B3" s="289" t="s">
        <v>449</v>
      </c>
      <c r="C3" s="289" t="s">
        <v>545</v>
      </c>
      <c r="D3" s="289" t="s">
        <v>546</v>
      </c>
      <c r="E3" s="289" t="s">
        <v>547</v>
      </c>
      <c r="F3" s="289" t="s">
        <v>548</v>
      </c>
      <c r="G3" s="289" t="s">
        <v>549</v>
      </c>
      <c r="H3" s="289" t="s">
        <v>550</v>
      </c>
      <c r="I3" s="289" t="s">
        <v>551</v>
      </c>
      <c r="J3" s="289" t="s">
        <v>552</v>
      </c>
      <c r="K3" s="289" t="s">
        <v>553</v>
      </c>
    </row>
    <row r="4" spans="1:11" ht="15.75" thickBot="1" x14ac:dyDescent="0.25">
      <c r="A4" s="1092">
        <v>1</v>
      </c>
      <c r="B4" s="1092">
        <v>2</v>
      </c>
      <c r="C4" s="1092">
        <v>3</v>
      </c>
      <c r="D4" s="1092">
        <v>4</v>
      </c>
      <c r="E4" s="1092">
        <v>5</v>
      </c>
      <c r="F4" s="1092">
        <v>6</v>
      </c>
      <c r="G4" s="1092">
        <v>7</v>
      </c>
      <c r="H4" s="1092">
        <v>8</v>
      </c>
      <c r="I4" s="1092">
        <v>9</v>
      </c>
      <c r="J4" s="1092">
        <v>10</v>
      </c>
      <c r="K4" s="1092">
        <v>11</v>
      </c>
    </row>
    <row r="5" spans="1:11" ht="59.25" customHeight="1" x14ac:dyDescent="0.2">
      <c r="A5" s="1093" t="s">
        <v>333</v>
      </c>
      <c r="B5" s="1094" t="s">
        <v>703</v>
      </c>
      <c r="C5" s="1095">
        <v>92370742</v>
      </c>
      <c r="D5" s="1095">
        <v>0</v>
      </c>
      <c r="E5" s="1095">
        <v>0</v>
      </c>
      <c r="F5" s="1095">
        <v>92370742</v>
      </c>
      <c r="G5" s="1095">
        <v>0</v>
      </c>
      <c r="H5" s="1095">
        <v>297634695</v>
      </c>
      <c r="I5" s="1095">
        <v>92370742</v>
      </c>
      <c r="J5" s="1095">
        <v>0</v>
      </c>
      <c r="K5" s="1096">
        <v>0</v>
      </c>
    </row>
    <row r="6" spans="1:11" ht="48" customHeight="1" x14ac:dyDescent="0.2">
      <c r="A6" s="1097" t="s">
        <v>335</v>
      </c>
      <c r="B6" s="467" t="s">
        <v>704</v>
      </c>
      <c r="C6" s="468">
        <v>50000</v>
      </c>
      <c r="D6" s="468">
        <v>0</v>
      </c>
      <c r="E6" s="468">
        <v>0</v>
      </c>
      <c r="F6" s="468">
        <v>50000</v>
      </c>
      <c r="G6" s="468">
        <v>0</v>
      </c>
      <c r="H6" s="468">
        <v>0</v>
      </c>
      <c r="I6" s="468">
        <v>0</v>
      </c>
      <c r="J6" s="468">
        <v>0</v>
      </c>
      <c r="K6" s="1098">
        <v>50000</v>
      </c>
    </row>
    <row r="7" spans="1:11" ht="38.25" x14ac:dyDescent="0.2">
      <c r="A7" s="1097" t="s">
        <v>339</v>
      </c>
      <c r="B7" s="467" t="s">
        <v>705</v>
      </c>
      <c r="C7" s="468">
        <v>0</v>
      </c>
      <c r="D7" s="468">
        <v>0</v>
      </c>
      <c r="E7" s="468">
        <v>0</v>
      </c>
      <c r="F7" s="468">
        <v>0</v>
      </c>
      <c r="G7" s="468">
        <v>0</v>
      </c>
      <c r="H7" s="468">
        <v>9664525</v>
      </c>
      <c r="I7" s="468">
        <v>0</v>
      </c>
      <c r="J7" s="468">
        <v>0</v>
      </c>
      <c r="K7" s="1098">
        <v>0</v>
      </c>
    </row>
    <row r="8" spans="1:11" ht="51" x14ac:dyDescent="0.2">
      <c r="A8" s="1097" t="s">
        <v>346</v>
      </c>
      <c r="B8" s="467" t="s">
        <v>706</v>
      </c>
      <c r="C8" s="468">
        <v>48628200</v>
      </c>
      <c r="D8" s="468">
        <v>2212966</v>
      </c>
      <c r="E8" s="468">
        <v>-2011200</v>
      </c>
      <c r="F8" s="468">
        <v>48279133</v>
      </c>
      <c r="G8" s="468">
        <v>-550833</v>
      </c>
      <c r="H8" s="468">
        <v>50665992</v>
      </c>
      <c r="I8" s="468">
        <v>48279133</v>
      </c>
      <c r="J8" s="468">
        <v>0</v>
      </c>
      <c r="K8" s="1098">
        <v>550833</v>
      </c>
    </row>
    <row r="9" spans="1:11" ht="38.25" x14ac:dyDescent="0.2">
      <c r="A9" s="1097" t="s">
        <v>348</v>
      </c>
      <c r="B9" s="467" t="s">
        <v>707</v>
      </c>
      <c r="C9" s="468">
        <v>15835480</v>
      </c>
      <c r="D9" s="468">
        <v>-436000</v>
      </c>
      <c r="E9" s="468">
        <v>218000</v>
      </c>
      <c r="F9" s="468">
        <v>15837200</v>
      </c>
      <c r="G9" s="468">
        <v>219720</v>
      </c>
      <c r="H9" s="468">
        <v>31275071</v>
      </c>
      <c r="I9" s="468">
        <v>15837200</v>
      </c>
      <c r="J9" s="468">
        <v>219720</v>
      </c>
      <c r="K9" s="1098">
        <v>0</v>
      </c>
    </row>
    <row r="10" spans="1:11" ht="38.25" x14ac:dyDescent="0.2">
      <c r="A10" s="1097" t="s">
        <v>354</v>
      </c>
      <c r="B10" s="467" t="s">
        <v>708</v>
      </c>
      <c r="C10" s="468">
        <v>26347588</v>
      </c>
      <c r="D10" s="468">
        <v>-1154450</v>
      </c>
      <c r="E10" s="468">
        <v>136891</v>
      </c>
      <c r="F10" s="468">
        <v>25330029</v>
      </c>
      <c r="G10" s="468">
        <v>0</v>
      </c>
      <c r="H10" s="468">
        <v>28861931</v>
      </c>
      <c r="I10" s="468">
        <v>25330029</v>
      </c>
      <c r="J10" s="468">
        <v>0</v>
      </c>
      <c r="K10" s="1098">
        <v>0</v>
      </c>
    </row>
    <row r="11" spans="1:11" ht="39" thickBot="1" x14ac:dyDescent="0.25">
      <c r="A11" s="1097" t="s">
        <v>459</v>
      </c>
      <c r="B11" s="467" t="s">
        <v>709</v>
      </c>
      <c r="C11" s="468">
        <v>36480</v>
      </c>
      <c r="D11" s="468">
        <v>-1140</v>
      </c>
      <c r="E11" s="468">
        <v>62700</v>
      </c>
      <c r="F11" s="468">
        <v>98040</v>
      </c>
      <c r="G11" s="468">
        <v>0</v>
      </c>
      <c r="H11" s="468">
        <v>258941</v>
      </c>
      <c r="I11" s="468">
        <v>98040</v>
      </c>
      <c r="J11" s="468">
        <v>0</v>
      </c>
      <c r="K11" s="1098">
        <v>0</v>
      </c>
    </row>
    <row r="12" spans="1:11" ht="13.5" thickBot="1" x14ac:dyDescent="0.25">
      <c r="A12" s="1099" t="s">
        <v>286</v>
      </c>
      <c r="B12" s="1100" t="s">
        <v>710</v>
      </c>
      <c r="C12" s="1101">
        <v>183268490</v>
      </c>
      <c r="D12" s="1101">
        <v>621376</v>
      </c>
      <c r="E12" s="1101">
        <v>-1593609</v>
      </c>
      <c r="F12" s="1101">
        <v>181965144</v>
      </c>
      <c r="G12" s="1101">
        <v>-331113</v>
      </c>
      <c r="H12" s="1101">
        <v>418361155</v>
      </c>
      <c r="I12" s="1101">
        <v>181915144</v>
      </c>
      <c r="J12" s="1101">
        <v>219720</v>
      </c>
      <c r="K12" s="1102">
        <v>600833</v>
      </c>
    </row>
    <row r="13" spans="1:11" x14ac:dyDescent="0.2">
      <c r="A13" s="91"/>
      <c r="B13" s="273"/>
      <c r="C13" s="24"/>
      <c r="D13" s="24"/>
      <c r="E13" s="24"/>
      <c r="F13" s="24"/>
      <c r="G13" s="24"/>
      <c r="H13" s="285"/>
      <c r="I13" s="286"/>
      <c r="J13" s="91"/>
      <c r="K13" s="91"/>
    </row>
    <row r="14" spans="1:11" x14ac:dyDescent="0.2">
      <c r="A14" s="91"/>
      <c r="B14" s="273"/>
      <c r="C14" s="24"/>
      <c r="D14" s="24"/>
      <c r="E14" s="24"/>
      <c r="F14" s="24"/>
      <c r="G14" s="24"/>
      <c r="H14" s="285"/>
      <c r="I14" s="286"/>
      <c r="J14" s="91"/>
      <c r="K14" s="91"/>
    </row>
    <row r="15" spans="1:11" ht="27.75" customHeight="1" thickBot="1" x14ac:dyDescent="0.25">
      <c r="A15" s="2071" t="s">
        <v>598</v>
      </c>
      <c r="B15" s="2072"/>
      <c r="C15" s="2072"/>
      <c r="D15" s="2072"/>
      <c r="E15" s="2072"/>
      <c r="F15" s="2072"/>
      <c r="G15" s="24"/>
      <c r="H15" s="285"/>
      <c r="I15" s="286"/>
      <c r="J15" s="91"/>
      <c r="K15" s="91"/>
    </row>
    <row r="16" spans="1:11" ht="135" x14ac:dyDescent="0.2">
      <c r="A16" s="1103"/>
      <c r="B16" s="1104" t="s">
        <v>449</v>
      </c>
      <c r="C16" s="1104" t="s">
        <v>554</v>
      </c>
      <c r="D16" s="1104" t="s">
        <v>555</v>
      </c>
      <c r="E16" s="1104" t="s">
        <v>556</v>
      </c>
      <c r="F16" s="1105" t="s">
        <v>557</v>
      </c>
      <c r="G16" s="24"/>
      <c r="H16" s="285"/>
      <c r="I16" s="286"/>
      <c r="J16" s="91"/>
      <c r="K16" s="91"/>
    </row>
    <row r="17" spans="1:11" ht="15" x14ac:dyDescent="0.2">
      <c r="A17" s="1106">
        <v>1</v>
      </c>
      <c r="B17" s="1052">
        <v>2</v>
      </c>
      <c r="C17" s="1052">
        <v>3</v>
      </c>
      <c r="D17" s="1052">
        <v>4</v>
      </c>
      <c r="E17" s="1052">
        <v>5</v>
      </c>
      <c r="F17" s="1107">
        <v>6</v>
      </c>
      <c r="G17" s="24"/>
      <c r="H17" s="285"/>
      <c r="I17" s="286"/>
      <c r="J17" s="91"/>
      <c r="K17" s="91"/>
    </row>
    <row r="18" spans="1:11" ht="38.25" x14ac:dyDescent="0.2">
      <c r="A18" s="1097" t="s">
        <v>333</v>
      </c>
      <c r="B18" s="467" t="s">
        <v>711</v>
      </c>
      <c r="C18" s="468">
        <v>75396</v>
      </c>
      <c r="D18" s="468">
        <v>75396</v>
      </c>
      <c r="E18" s="468">
        <v>0</v>
      </c>
      <c r="F18" s="1098">
        <v>0</v>
      </c>
      <c r="G18" s="24"/>
      <c r="H18" s="285"/>
      <c r="I18" s="286"/>
      <c r="J18" s="91"/>
      <c r="K18" s="91"/>
    </row>
    <row r="19" spans="1:11" ht="25.5" x14ac:dyDescent="0.2">
      <c r="A19" s="1097" t="s">
        <v>335</v>
      </c>
      <c r="B19" s="467" t="s">
        <v>712</v>
      </c>
      <c r="C19" s="468">
        <v>1041000</v>
      </c>
      <c r="D19" s="468">
        <v>1041000</v>
      </c>
      <c r="E19" s="468">
        <v>0</v>
      </c>
      <c r="F19" s="1098">
        <v>0</v>
      </c>
      <c r="G19" s="24"/>
      <c r="H19" s="285"/>
      <c r="I19" s="286"/>
      <c r="J19" s="91"/>
      <c r="K19" s="91"/>
    </row>
    <row r="20" spans="1:11" ht="38.25" customHeight="1" x14ac:dyDescent="0.2">
      <c r="A20" s="1097" t="s">
        <v>339</v>
      </c>
      <c r="B20" s="467" t="s">
        <v>713</v>
      </c>
      <c r="C20" s="468">
        <v>3877219</v>
      </c>
      <c r="D20" s="468">
        <v>3564108</v>
      </c>
      <c r="E20" s="468">
        <v>0</v>
      </c>
      <c r="F20" s="1098">
        <v>313111</v>
      </c>
      <c r="G20" s="24"/>
      <c r="H20" s="285"/>
      <c r="I20" s="286"/>
      <c r="J20" s="91"/>
      <c r="K20" s="91"/>
    </row>
    <row r="21" spans="1:11" ht="38.25" x14ac:dyDescent="0.2">
      <c r="A21" s="1097" t="s">
        <v>341</v>
      </c>
      <c r="B21" s="467" t="s">
        <v>714</v>
      </c>
      <c r="C21" s="468">
        <v>17340000</v>
      </c>
      <c r="D21" s="468">
        <v>17340000</v>
      </c>
      <c r="E21" s="468">
        <v>0</v>
      </c>
      <c r="F21" s="1098">
        <v>0</v>
      </c>
      <c r="G21" s="24"/>
      <c r="H21" s="285"/>
      <c r="I21" s="286"/>
      <c r="J21" s="91"/>
      <c r="K21" s="91"/>
    </row>
    <row r="22" spans="1:11" ht="51" x14ac:dyDescent="0.2">
      <c r="A22" s="1097" t="s">
        <v>354</v>
      </c>
      <c r="B22" s="467" t="s">
        <v>715</v>
      </c>
      <c r="C22" s="468">
        <v>2603920</v>
      </c>
      <c r="D22" s="468">
        <v>2603920</v>
      </c>
      <c r="E22" s="468">
        <v>0</v>
      </c>
      <c r="F22" s="1098">
        <v>0</v>
      </c>
      <c r="G22" s="24"/>
      <c r="H22" s="287"/>
      <c r="I22" s="286"/>
      <c r="J22" s="91"/>
      <c r="K22" s="91"/>
    </row>
    <row r="23" spans="1:11" ht="63.75" customHeight="1" x14ac:dyDescent="0.2">
      <c r="A23" s="1108" t="s">
        <v>289</v>
      </c>
      <c r="B23" s="1109" t="s">
        <v>716</v>
      </c>
      <c r="C23" s="1110">
        <v>2603920</v>
      </c>
      <c r="D23" s="1110">
        <v>2603920</v>
      </c>
      <c r="E23" s="1110">
        <v>0</v>
      </c>
      <c r="F23" s="1111">
        <v>0</v>
      </c>
      <c r="G23" s="24"/>
      <c r="H23" s="288"/>
      <c r="I23" s="286"/>
      <c r="J23" s="91"/>
      <c r="K23" s="91"/>
    </row>
    <row r="24" spans="1:11" ht="63.75" customHeight="1" x14ac:dyDescent="0.2">
      <c r="A24" s="1097" t="s">
        <v>468</v>
      </c>
      <c r="B24" s="467" t="s">
        <v>717</v>
      </c>
      <c r="C24" s="468">
        <v>264317</v>
      </c>
      <c r="D24" s="468">
        <v>242329</v>
      </c>
      <c r="E24" s="468">
        <v>0</v>
      </c>
      <c r="F24" s="1098">
        <v>21988</v>
      </c>
      <c r="G24" s="24"/>
      <c r="H24" s="288"/>
      <c r="I24" s="286"/>
      <c r="J24" s="91"/>
      <c r="K24" s="91"/>
    </row>
    <row r="25" spans="1:11" ht="51" x14ac:dyDescent="0.2">
      <c r="A25" s="1097" t="s">
        <v>718</v>
      </c>
      <c r="B25" s="467" t="s">
        <v>719</v>
      </c>
      <c r="C25" s="468">
        <v>2453640</v>
      </c>
      <c r="D25" s="468">
        <v>0</v>
      </c>
      <c r="E25" s="468">
        <v>2453640</v>
      </c>
      <c r="F25" s="1098">
        <v>0</v>
      </c>
      <c r="G25" s="24"/>
      <c r="H25" s="288"/>
      <c r="I25" s="286"/>
      <c r="J25" s="91"/>
      <c r="K25" s="91"/>
    </row>
    <row r="26" spans="1:11" ht="76.5" customHeight="1" x14ac:dyDescent="0.2">
      <c r="A26" s="1097" t="s">
        <v>599</v>
      </c>
      <c r="B26" s="467" t="s">
        <v>720</v>
      </c>
      <c r="C26" s="468">
        <v>1500000</v>
      </c>
      <c r="D26" s="468">
        <v>1500000</v>
      </c>
      <c r="E26" s="468">
        <v>0</v>
      </c>
      <c r="F26" s="1098">
        <v>0</v>
      </c>
      <c r="G26" s="24"/>
      <c r="H26" s="288"/>
      <c r="I26" s="286"/>
      <c r="J26" s="91"/>
      <c r="K26" s="91"/>
    </row>
    <row r="27" spans="1:11" ht="89.25" customHeight="1" x14ac:dyDescent="0.2">
      <c r="A27" s="1108" t="s">
        <v>721</v>
      </c>
      <c r="B27" s="1109" t="s">
        <v>722</v>
      </c>
      <c r="C27" s="1110">
        <v>3953640</v>
      </c>
      <c r="D27" s="1110">
        <v>1500000</v>
      </c>
      <c r="E27" s="1110">
        <v>2453640</v>
      </c>
      <c r="F27" s="1111">
        <v>0</v>
      </c>
      <c r="G27" s="24"/>
      <c r="H27" s="288"/>
      <c r="I27" s="286"/>
      <c r="J27" s="91"/>
      <c r="K27" s="91"/>
    </row>
    <row r="28" spans="1:11" ht="25.5" x14ac:dyDescent="0.2">
      <c r="A28" s="1097" t="s">
        <v>558</v>
      </c>
      <c r="B28" s="467" t="s">
        <v>723</v>
      </c>
      <c r="C28" s="468">
        <v>15000000</v>
      </c>
      <c r="D28" s="468">
        <v>0</v>
      </c>
      <c r="E28" s="468">
        <v>15000000</v>
      </c>
      <c r="F28" s="1098">
        <v>0</v>
      </c>
      <c r="G28" s="24"/>
      <c r="H28" s="288"/>
      <c r="I28" s="286"/>
      <c r="J28" s="91"/>
      <c r="K28" s="91"/>
    </row>
    <row r="29" spans="1:11" ht="51" x14ac:dyDescent="0.2">
      <c r="A29" s="1108" t="s">
        <v>724</v>
      </c>
      <c r="B29" s="1109" t="s">
        <v>725</v>
      </c>
      <c r="C29" s="1110">
        <v>15000000</v>
      </c>
      <c r="D29" s="1110">
        <v>0</v>
      </c>
      <c r="E29" s="1110">
        <v>15000000</v>
      </c>
      <c r="F29" s="1111">
        <v>0</v>
      </c>
      <c r="G29" s="24"/>
      <c r="H29" s="288"/>
      <c r="I29" s="286"/>
      <c r="J29" s="91"/>
      <c r="K29" s="91"/>
    </row>
    <row r="30" spans="1:11" ht="38.25" x14ac:dyDescent="0.2">
      <c r="A30" s="1097" t="s">
        <v>726</v>
      </c>
      <c r="B30" s="467" t="s">
        <v>727</v>
      </c>
      <c r="C30" s="468">
        <v>253600</v>
      </c>
      <c r="D30" s="468">
        <v>253600</v>
      </c>
      <c r="E30" s="468">
        <v>0</v>
      </c>
      <c r="F30" s="1098">
        <v>0</v>
      </c>
    </row>
    <row r="31" spans="1:11" ht="38.25" x14ac:dyDescent="0.2">
      <c r="A31" s="1097" t="s">
        <v>728</v>
      </c>
      <c r="B31" s="467" t="s">
        <v>729</v>
      </c>
      <c r="C31" s="468">
        <v>569534</v>
      </c>
      <c r="D31" s="468">
        <v>517787</v>
      </c>
      <c r="E31" s="468">
        <v>0</v>
      </c>
      <c r="F31" s="1098">
        <v>51747</v>
      </c>
    </row>
    <row r="32" spans="1:11" ht="63.75" x14ac:dyDescent="0.2">
      <c r="A32" s="1097" t="s">
        <v>730</v>
      </c>
      <c r="B32" s="467" t="s">
        <v>731</v>
      </c>
      <c r="C32" s="468">
        <v>622300</v>
      </c>
      <c r="D32" s="468">
        <v>0</v>
      </c>
      <c r="E32" s="468">
        <v>622300</v>
      </c>
      <c r="F32" s="1098">
        <v>0</v>
      </c>
    </row>
    <row r="33" spans="1:6" ht="90" thickBot="1" x14ac:dyDescent="0.25">
      <c r="A33" s="1097" t="s">
        <v>732</v>
      </c>
      <c r="B33" s="467" t="s">
        <v>733</v>
      </c>
      <c r="C33" s="468">
        <v>2220000</v>
      </c>
      <c r="D33" s="468">
        <v>0</v>
      </c>
      <c r="E33" s="468">
        <v>2220000</v>
      </c>
      <c r="F33" s="1098">
        <v>0</v>
      </c>
    </row>
    <row r="34" spans="1:6" ht="39" thickBot="1" x14ac:dyDescent="0.25">
      <c r="A34" s="1112" t="s">
        <v>734</v>
      </c>
      <c r="B34" s="1113" t="s">
        <v>735</v>
      </c>
      <c r="C34" s="1114">
        <v>47820926</v>
      </c>
      <c r="D34" s="1114">
        <v>27138140</v>
      </c>
      <c r="E34" s="1114">
        <v>20295940</v>
      </c>
      <c r="F34" s="1115">
        <v>386846</v>
      </c>
    </row>
  </sheetData>
  <mergeCells count="3">
    <mergeCell ref="A1:J1"/>
    <mergeCell ref="A2:K2"/>
    <mergeCell ref="A15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view="pageBreakPreview" topLeftCell="A160" zoomScaleSheetLayoutView="100" workbookViewId="0">
      <selection activeCell="F175" sqref="F175:G179"/>
    </sheetView>
  </sheetViews>
  <sheetFormatPr defaultRowHeight="12.75" x14ac:dyDescent="0.2"/>
  <cols>
    <col min="1" max="1" width="4.140625" style="39" customWidth="1"/>
    <col min="2" max="2" width="51.42578125" style="40" customWidth="1"/>
    <col min="3" max="3" width="11.42578125" style="56" customWidth="1"/>
    <col min="4" max="4" width="11.5703125" style="56" customWidth="1"/>
    <col min="5" max="5" width="11.7109375" style="57" customWidth="1"/>
    <col min="6" max="16384" width="9.140625" style="2"/>
  </cols>
  <sheetData>
    <row r="1" spans="1:6" ht="12.75" customHeight="1" x14ac:dyDescent="0.2">
      <c r="C1" s="1488"/>
      <c r="D1" s="1488"/>
      <c r="E1" s="1488"/>
      <c r="F1" s="60"/>
    </row>
    <row r="6" spans="1:6" ht="13.5" thickBot="1" x14ac:dyDescent="0.25">
      <c r="C6" s="41"/>
      <c r="D6" s="41"/>
      <c r="E6" s="42"/>
    </row>
    <row r="7" spans="1:6" ht="5.25" customHeight="1" x14ac:dyDescent="0.2">
      <c r="A7" s="43"/>
      <c r="B7" s="44"/>
      <c r="C7" s="45"/>
      <c r="D7" s="45"/>
      <c r="E7" s="46"/>
    </row>
    <row r="8" spans="1:6" s="3" customFormat="1" x14ac:dyDescent="0.2">
      <c r="A8" s="1489" t="s">
        <v>13</v>
      </c>
      <c r="B8" s="1490"/>
      <c r="C8" s="47" t="s">
        <v>14</v>
      </c>
      <c r="D8" s="47" t="s">
        <v>15</v>
      </c>
      <c r="E8" s="1491" t="s">
        <v>16</v>
      </c>
    </row>
    <row r="9" spans="1:6" s="3" customFormat="1" x14ac:dyDescent="0.2">
      <c r="A9" s="1489"/>
      <c r="B9" s="1490"/>
      <c r="C9" s="47" t="s">
        <v>17</v>
      </c>
      <c r="D9" s="47" t="s">
        <v>17</v>
      </c>
      <c r="E9" s="1491"/>
    </row>
    <row r="10" spans="1:6" ht="4.5" customHeight="1" thickBot="1" x14ac:dyDescent="0.25">
      <c r="A10" s="48"/>
      <c r="B10" s="49"/>
      <c r="C10" s="50"/>
      <c r="D10" s="50"/>
      <c r="E10" s="51"/>
    </row>
    <row r="11" spans="1:6" ht="13.5" customHeight="1" x14ac:dyDescent="0.15">
      <c r="A11" s="1492" t="s">
        <v>18</v>
      </c>
      <c r="B11" s="1493"/>
      <c r="C11" s="1493"/>
      <c r="D11" s="1493"/>
      <c r="E11" s="1494"/>
    </row>
    <row r="12" spans="1:6" s="4" customFormat="1" ht="25.5" customHeight="1" x14ac:dyDescent="0.2">
      <c r="A12" s="394" t="s">
        <v>19</v>
      </c>
      <c r="B12" s="395" t="s">
        <v>179</v>
      </c>
      <c r="C12" s="396"/>
      <c r="D12" s="396"/>
      <c r="E12" s="397"/>
    </row>
    <row r="13" spans="1:6" s="4" customFormat="1" ht="12.75" customHeight="1" x14ac:dyDescent="0.2">
      <c r="A13" s="394"/>
      <c r="B13" s="151" t="s">
        <v>254</v>
      </c>
      <c r="C13" s="396">
        <f>C17+C21+C25+C29+C33+C37+C41</f>
        <v>11814000</v>
      </c>
      <c r="D13" s="396">
        <f>D17+D21+D25+D29+D33+D37+D41</f>
        <v>0</v>
      </c>
      <c r="E13" s="397">
        <f>SUM(C13:D13)</f>
        <v>11814000</v>
      </c>
    </row>
    <row r="14" spans="1:6" s="4" customFormat="1" ht="12.75" customHeight="1" x14ac:dyDescent="0.2">
      <c r="A14" s="394"/>
      <c r="B14" s="151" t="s">
        <v>255</v>
      </c>
      <c r="C14" s="396">
        <f t="shared" ref="C14:D15" si="0">C18+C22+C26+C30+C34+C38+C42</f>
        <v>14929053</v>
      </c>
      <c r="D14" s="396">
        <f t="shared" si="0"/>
        <v>0</v>
      </c>
      <c r="E14" s="397">
        <f t="shared" ref="E14:E15" si="1">SUM(C14:D14)</f>
        <v>14929053</v>
      </c>
    </row>
    <row r="15" spans="1:6" s="4" customFormat="1" ht="13.5" customHeight="1" x14ac:dyDescent="0.2">
      <c r="A15" s="394"/>
      <c r="B15" s="151" t="s">
        <v>256</v>
      </c>
      <c r="C15" s="396">
        <f t="shared" si="0"/>
        <v>11607831</v>
      </c>
      <c r="D15" s="396">
        <f t="shared" si="0"/>
        <v>0</v>
      </c>
      <c r="E15" s="397">
        <f t="shared" si="1"/>
        <v>11607831</v>
      </c>
    </row>
    <row r="16" spans="1:6" s="4" customFormat="1" ht="12.75" customHeight="1" x14ac:dyDescent="0.2">
      <c r="A16" s="1510" t="s">
        <v>2</v>
      </c>
      <c r="B16" s="366" t="s">
        <v>131</v>
      </c>
      <c r="C16" s="396"/>
      <c r="D16" s="396"/>
      <c r="E16" s="397"/>
    </row>
    <row r="17" spans="1:5" s="4" customFormat="1" ht="12.75" customHeight="1" x14ac:dyDescent="0.2">
      <c r="A17" s="1511"/>
      <c r="B17" s="151" t="s">
        <v>254</v>
      </c>
      <c r="C17" s="396">
        <f>'3 bevételek'!F9</f>
        <v>0</v>
      </c>
      <c r="D17" s="396"/>
      <c r="E17" s="397">
        <f t="shared" ref="E17:E47" si="2">C17+D17</f>
        <v>0</v>
      </c>
    </row>
    <row r="18" spans="1:5" s="4" customFormat="1" ht="12.75" customHeight="1" x14ac:dyDescent="0.2">
      <c r="A18" s="1511"/>
      <c r="B18" s="151" t="s">
        <v>255</v>
      </c>
      <c r="C18" s="396">
        <f>'3 bevételek'!F10</f>
        <v>746480</v>
      </c>
      <c r="D18" s="396"/>
      <c r="E18" s="397">
        <f t="shared" si="2"/>
        <v>746480</v>
      </c>
    </row>
    <row r="19" spans="1:5" s="4" customFormat="1" ht="12.75" customHeight="1" x14ac:dyDescent="0.2">
      <c r="A19" s="1512"/>
      <c r="B19" s="151" t="s">
        <v>256</v>
      </c>
      <c r="C19" s="396">
        <f>'3 bevételek'!F11</f>
        <v>746480</v>
      </c>
      <c r="D19" s="396"/>
      <c r="E19" s="397">
        <f t="shared" si="2"/>
        <v>746480</v>
      </c>
    </row>
    <row r="20" spans="1:5" s="4" customFormat="1" ht="13.5" customHeight="1" x14ac:dyDescent="0.2">
      <c r="A20" s="1510" t="s">
        <v>3</v>
      </c>
      <c r="B20" s="399" t="s">
        <v>132</v>
      </c>
      <c r="C20" s="396"/>
      <c r="D20" s="396"/>
      <c r="E20" s="397"/>
    </row>
    <row r="21" spans="1:5" s="4" customFormat="1" ht="13.5" customHeight="1" x14ac:dyDescent="0.2">
      <c r="A21" s="1511"/>
      <c r="B21" s="151" t="s">
        <v>254</v>
      </c>
      <c r="C21" s="396">
        <f>'3 bevételek'!F462</f>
        <v>0</v>
      </c>
      <c r="D21" s="396">
        <v>0</v>
      </c>
      <c r="E21" s="397">
        <f t="shared" si="2"/>
        <v>0</v>
      </c>
    </row>
    <row r="22" spans="1:5" s="4" customFormat="1" ht="13.5" customHeight="1" x14ac:dyDescent="0.2">
      <c r="A22" s="1511"/>
      <c r="B22" s="151" t="s">
        <v>255</v>
      </c>
      <c r="C22" s="396">
        <f>'3 bevételek'!F463</f>
        <v>0</v>
      </c>
      <c r="D22" s="396">
        <v>0</v>
      </c>
      <c r="E22" s="397">
        <f t="shared" si="2"/>
        <v>0</v>
      </c>
    </row>
    <row r="23" spans="1:5" s="4" customFormat="1" ht="13.5" customHeight="1" x14ac:dyDescent="0.2">
      <c r="A23" s="1512"/>
      <c r="B23" s="151" t="s">
        <v>256</v>
      </c>
      <c r="C23" s="396">
        <f>'3 bevételek'!F464</f>
        <v>0</v>
      </c>
      <c r="D23" s="396">
        <f>'3 bevételek'!G464</f>
        <v>0</v>
      </c>
      <c r="E23" s="397">
        <f t="shared" si="2"/>
        <v>0</v>
      </c>
    </row>
    <row r="24" spans="1:5" s="4" customFormat="1" ht="13.5" customHeight="1" x14ac:dyDescent="0.2">
      <c r="A24" s="1510">
        <v>3</v>
      </c>
      <c r="B24" s="366" t="s">
        <v>53</v>
      </c>
      <c r="C24" s="396"/>
      <c r="D24" s="396"/>
      <c r="E24" s="397"/>
    </row>
    <row r="25" spans="1:5" s="4" customFormat="1" ht="13.5" customHeight="1" x14ac:dyDescent="0.2">
      <c r="A25" s="1511"/>
      <c r="B25" s="151" t="s">
        <v>254</v>
      </c>
      <c r="C25" s="396">
        <v>0</v>
      </c>
      <c r="D25" s="396">
        <v>0</v>
      </c>
      <c r="E25" s="397">
        <f t="shared" si="2"/>
        <v>0</v>
      </c>
    </row>
    <row r="26" spans="1:5" s="4" customFormat="1" ht="13.5" customHeight="1" x14ac:dyDescent="0.2">
      <c r="A26" s="1511"/>
      <c r="B26" s="151" t="s">
        <v>255</v>
      </c>
      <c r="C26" s="396">
        <v>0</v>
      </c>
      <c r="D26" s="396">
        <v>0</v>
      </c>
      <c r="E26" s="397">
        <f t="shared" si="2"/>
        <v>0</v>
      </c>
    </row>
    <row r="27" spans="1:5" s="4" customFormat="1" ht="13.5" customHeight="1" x14ac:dyDescent="0.2">
      <c r="A27" s="1512"/>
      <c r="B27" s="151" t="s">
        <v>256</v>
      </c>
      <c r="C27" s="396">
        <v>0</v>
      </c>
      <c r="D27" s="396">
        <v>0</v>
      </c>
      <c r="E27" s="397">
        <f t="shared" si="2"/>
        <v>0</v>
      </c>
    </row>
    <row r="28" spans="1:5" s="4" customFormat="1" ht="12" customHeight="1" x14ac:dyDescent="0.2">
      <c r="A28" s="1510" t="s">
        <v>5</v>
      </c>
      <c r="B28" s="366" t="s">
        <v>133</v>
      </c>
      <c r="C28" s="396"/>
      <c r="D28" s="396"/>
      <c r="E28" s="397"/>
    </row>
    <row r="29" spans="1:5" s="4" customFormat="1" ht="12" customHeight="1" x14ac:dyDescent="0.2">
      <c r="A29" s="1511"/>
      <c r="B29" s="151" t="s">
        <v>254</v>
      </c>
      <c r="C29" s="396">
        <f>'3 bevételek'!F66</f>
        <v>11814000</v>
      </c>
      <c r="D29" s="396"/>
      <c r="E29" s="397">
        <f t="shared" si="2"/>
        <v>11814000</v>
      </c>
    </row>
    <row r="30" spans="1:5" s="4" customFormat="1" ht="12" customHeight="1" x14ac:dyDescent="0.2">
      <c r="A30" s="1511"/>
      <c r="B30" s="151" t="s">
        <v>255</v>
      </c>
      <c r="C30" s="396">
        <f>'3 bevételek'!F67</f>
        <v>14182573</v>
      </c>
      <c r="D30" s="396"/>
      <c r="E30" s="397">
        <f t="shared" si="2"/>
        <v>14182573</v>
      </c>
    </row>
    <row r="31" spans="1:5" s="4" customFormat="1" ht="12" customHeight="1" x14ac:dyDescent="0.2">
      <c r="A31" s="1512"/>
      <c r="B31" s="151" t="s">
        <v>256</v>
      </c>
      <c r="C31" s="396">
        <f>'3 bevételek'!F68</f>
        <v>10861351</v>
      </c>
      <c r="D31" s="396"/>
      <c r="E31" s="397">
        <f t="shared" si="2"/>
        <v>10861351</v>
      </c>
    </row>
    <row r="32" spans="1:5" s="4" customFormat="1" ht="12.75" customHeight="1" x14ac:dyDescent="0.2">
      <c r="A32" s="1510" t="s">
        <v>6</v>
      </c>
      <c r="B32" s="366" t="s">
        <v>134</v>
      </c>
      <c r="C32" s="396"/>
      <c r="D32" s="396"/>
      <c r="E32" s="397"/>
    </row>
    <row r="33" spans="1:5" s="4" customFormat="1" ht="12.75" customHeight="1" x14ac:dyDescent="0.2">
      <c r="A33" s="1511"/>
      <c r="B33" s="151" t="s">
        <v>254</v>
      </c>
      <c r="C33" s="396">
        <f>'3 bevételek'!F462</f>
        <v>0</v>
      </c>
      <c r="D33" s="396">
        <f>'3 bevételek'!G462</f>
        <v>0</v>
      </c>
      <c r="E33" s="397">
        <f t="shared" si="2"/>
        <v>0</v>
      </c>
    </row>
    <row r="34" spans="1:5" s="4" customFormat="1" ht="12.75" customHeight="1" x14ac:dyDescent="0.2">
      <c r="A34" s="1511"/>
      <c r="B34" s="151" t="s">
        <v>255</v>
      </c>
      <c r="C34" s="396">
        <f>'3 bevételek'!F463</f>
        <v>0</v>
      </c>
      <c r="D34" s="396">
        <f>'3 bevételek'!G463</f>
        <v>0</v>
      </c>
      <c r="E34" s="397">
        <f t="shared" si="2"/>
        <v>0</v>
      </c>
    </row>
    <row r="35" spans="1:5" s="4" customFormat="1" ht="12.75" customHeight="1" x14ac:dyDescent="0.2">
      <c r="A35" s="1512"/>
      <c r="B35" s="151" t="s">
        <v>256</v>
      </c>
      <c r="C35" s="396">
        <f>'3 bevételek'!F464</f>
        <v>0</v>
      </c>
      <c r="D35" s="396">
        <f>'3 bevételek'!G464</f>
        <v>0</v>
      </c>
      <c r="E35" s="397">
        <f t="shared" si="2"/>
        <v>0</v>
      </c>
    </row>
    <row r="36" spans="1:5" s="4" customFormat="1" ht="12" customHeight="1" x14ac:dyDescent="0.2">
      <c r="A36" s="1510" t="s">
        <v>7</v>
      </c>
      <c r="B36" s="366" t="s">
        <v>130</v>
      </c>
      <c r="C36" s="396"/>
      <c r="D36" s="396"/>
      <c r="E36" s="397"/>
    </row>
    <row r="37" spans="1:5" s="4" customFormat="1" ht="12" customHeight="1" x14ac:dyDescent="0.2">
      <c r="A37" s="1511"/>
      <c r="B37" s="151" t="s">
        <v>254</v>
      </c>
      <c r="C37" s="396"/>
      <c r="D37" s="396"/>
      <c r="E37" s="397">
        <f t="shared" si="2"/>
        <v>0</v>
      </c>
    </row>
    <row r="38" spans="1:5" s="4" customFormat="1" ht="12" customHeight="1" x14ac:dyDescent="0.2">
      <c r="A38" s="1511"/>
      <c r="B38" s="151" t="s">
        <v>255</v>
      </c>
      <c r="C38" s="396"/>
      <c r="D38" s="396"/>
      <c r="E38" s="397">
        <f t="shared" si="2"/>
        <v>0</v>
      </c>
    </row>
    <row r="39" spans="1:5" s="4" customFormat="1" ht="12" customHeight="1" x14ac:dyDescent="0.2">
      <c r="A39" s="1512"/>
      <c r="B39" s="151" t="s">
        <v>256</v>
      </c>
      <c r="C39" s="396"/>
      <c r="D39" s="396"/>
      <c r="E39" s="397">
        <f t="shared" si="2"/>
        <v>0</v>
      </c>
    </row>
    <row r="40" spans="1:5" s="4" customFormat="1" ht="12" customHeight="1" x14ac:dyDescent="0.2">
      <c r="A40" s="1510" t="s">
        <v>8</v>
      </c>
      <c r="B40" s="366" t="s">
        <v>129</v>
      </c>
      <c r="C40" s="396">
        <v>0</v>
      </c>
      <c r="D40" s="396">
        <v>0</v>
      </c>
      <c r="E40" s="397">
        <f t="shared" si="2"/>
        <v>0</v>
      </c>
    </row>
    <row r="41" spans="1:5" s="4" customFormat="1" ht="12" customHeight="1" x14ac:dyDescent="0.2">
      <c r="A41" s="1511"/>
      <c r="B41" s="151" t="s">
        <v>254</v>
      </c>
      <c r="C41" s="396"/>
      <c r="D41" s="396"/>
      <c r="E41" s="397">
        <f t="shared" si="2"/>
        <v>0</v>
      </c>
    </row>
    <row r="42" spans="1:5" s="4" customFormat="1" ht="12" customHeight="1" x14ac:dyDescent="0.2">
      <c r="A42" s="1511"/>
      <c r="B42" s="151" t="s">
        <v>255</v>
      </c>
      <c r="C42" s="396"/>
      <c r="D42" s="396"/>
      <c r="E42" s="397">
        <f t="shared" si="2"/>
        <v>0</v>
      </c>
    </row>
    <row r="43" spans="1:5" s="4" customFormat="1" ht="12" customHeight="1" thickBot="1" x14ac:dyDescent="0.25">
      <c r="A43" s="1511"/>
      <c r="B43" s="185" t="s">
        <v>256</v>
      </c>
      <c r="C43" s="419"/>
      <c r="D43" s="419"/>
      <c r="E43" s="420">
        <f t="shared" si="2"/>
        <v>0</v>
      </c>
    </row>
    <row r="44" spans="1:5" s="4" customFormat="1" ht="12" customHeight="1" x14ac:dyDescent="0.2">
      <c r="A44" s="1518"/>
      <c r="B44" s="425" t="s">
        <v>238</v>
      </c>
      <c r="C44" s="426"/>
      <c r="D44" s="426"/>
      <c r="E44" s="427">
        <f t="shared" si="2"/>
        <v>0</v>
      </c>
    </row>
    <row r="45" spans="1:5" s="4" customFormat="1" ht="12" customHeight="1" x14ac:dyDescent="0.2">
      <c r="A45" s="1519"/>
      <c r="B45" s="418" t="s">
        <v>254</v>
      </c>
      <c r="C45" s="417">
        <f>C17+C21+C25+C29+C33+C37+C40</f>
        <v>11814000</v>
      </c>
      <c r="D45" s="417">
        <f>D17+D21+D25+D29+D33+D37+D40</f>
        <v>0</v>
      </c>
      <c r="E45" s="428">
        <f t="shared" si="2"/>
        <v>11814000</v>
      </c>
    </row>
    <row r="46" spans="1:5" s="4" customFormat="1" ht="12" customHeight="1" x14ac:dyDescent="0.2">
      <c r="A46" s="1519"/>
      <c r="B46" s="418" t="s">
        <v>255</v>
      </c>
      <c r="C46" s="417">
        <f t="shared" ref="C46:D47" si="3">C18+C22+C26+C30+C34+C38+C41</f>
        <v>14929053</v>
      </c>
      <c r="D46" s="417">
        <f t="shared" si="3"/>
        <v>0</v>
      </c>
      <c r="E46" s="428">
        <f t="shared" si="2"/>
        <v>14929053</v>
      </c>
    </row>
    <row r="47" spans="1:5" s="4" customFormat="1" ht="12" customHeight="1" thickBot="1" x14ac:dyDescent="0.25">
      <c r="A47" s="1520"/>
      <c r="B47" s="429" t="s">
        <v>256</v>
      </c>
      <c r="C47" s="430">
        <f t="shared" si="3"/>
        <v>11607831</v>
      </c>
      <c r="D47" s="430">
        <f t="shared" si="3"/>
        <v>0</v>
      </c>
      <c r="E47" s="431">
        <f t="shared" si="2"/>
        <v>11607831</v>
      </c>
    </row>
    <row r="48" spans="1:5" s="4" customFormat="1" ht="27.75" customHeight="1" x14ac:dyDescent="0.2">
      <c r="A48" s="421" t="s">
        <v>20</v>
      </c>
      <c r="B48" s="422" t="s">
        <v>232</v>
      </c>
      <c r="C48" s="423"/>
      <c r="D48" s="423"/>
      <c r="E48" s="424"/>
    </row>
    <row r="49" spans="1:6" s="4" customFormat="1" ht="15.75" customHeight="1" x14ac:dyDescent="0.2">
      <c r="A49" s="394"/>
      <c r="B49" s="151" t="s">
        <v>254</v>
      </c>
      <c r="C49" s="401">
        <f>C53+C57+C61+C65+C69+C73+C77</f>
        <v>288861602</v>
      </c>
      <c r="D49" s="401">
        <f>D53+D57+D61+D65+D69+D73+D77</f>
        <v>222918629</v>
      </c>
      <c r="E49" s="396">
        <f>SUM(C49:D49)</f>
        <v>511780231</v>
      </c>
    </row>
    <row r="50" spans="1:6" s="4" customFormat="1" ht="17.25" customHeight="1" x14ac:dyDescent="0.2">
      <c r="A50" s="394"/>
      <c r="B50" s="151" t="s">
        <v>255</v>
      </c>
      <c r="C50" s="401">
        <f t="shared" ref="C50:D51" si="4">C54+C58+C62+C66+C70+C74+C78</f>
        <v>319974075</v>
      </c>
      <c r="D50" s="401">
        <f t="shared" si="4"/>
        <v>266314957</v>
      </c>
      <c r="E50" s="396">
        <f t="shared" ref="E50:E79" si="5">SUM(C50:D50)</f>
        <v>586289032</v>
      </c>
    </row>
    <row r="51" spans="1:6" s="4" customFormat="1" ht="13.5" customHeight="1" x14ac:dyDescent="0.2">
      <c r="A51" s="394"/>
      <c r="B51" s="151" t="s">
        <v>256</v>
      </c>
      <c r="C51" s="401">
        <f t="shared" si="4"/>
        <v>304575899</v>
      </c>
      <c r="D51" s="401">
        <f t="shared" si="4"/>
        <v>232244782</v>
      </c>
      <c r="E51" s="396">
        <f t="shared" si="5"/>
        <v>536820681</v>
      </c>
    </row>
    <row r="52" spans="1:6" s="5" customFormat="1" ht="12" customHeight="1" x14ac:dyDescent="0.2">
      <c r="A52" s="398" t="s">
        <v>2</v>
      </c>
      <c r="B52" s="366" t="s">
        <v>131</v>
      </c>
      <c r="C52" s="402"/>
      <c r="D52" s="403"/>
      <c r="E52" s="396"/>
    </row>
    <row r="53" spans="1:6" s="5" customFormat="1" ht="12" customHeight="1" x14ac:dyDescent="0.2">
      <c r="A53" s="398"/>
      <c r="B53" s="151" t="s">
        <v>254</v>
      </c>
      <c r="C53" s="402">
        <f>'3 bevételek'!F595</f>
        <v>249282800</v>
      </c>
      <c r="D53" s="403"/>
      <c r="E53" s="396">
        <f t="shared" si="5"/>
        <v>249282800</v>
      </c>
    </row>
    <row r="54" spans="1:6" s="5" customFormat="1" ht="12" customHeight="1" x14ac:dyDescent="0.2">
      <c r="A54" s="398"/>
      <c r="B54" s="151" t="s">
        <v>255</v>
      </c>
      <c r="C54" s="402">
        <f>'3 bevételek'!F596</f>
        <v>261443652</v>
      </c>
      <c r="D54" s="403"/>
      <c r="E54" s="396">
        <f t="shared" si="5"/>
        <v>261443652</v>
      </c>
    </row>
    <row r="55" spans="1:6" s="5" customFormat="1" ht="12" customHeight="1" x14ac:dyDescent="0.2">
      <c r="A55" s="398"/>
      <c r="B55" s="151" t="s">
        <v>256</v>
      </c>
      <c r="C55" s="402">
        <f>'3 bevételek'!F597</f>
        <v>252153953</v>
      </c>
      <c r="D55" s="403"/>
      <c r="E55" s="396">
        <f t="shared" si="5"/>
        <v>252153953</v>
      </c>
    </row>
    <row r="56" spans="1:6" s="5" customFormat="1" ht="12" customHeight="1" x14ac:dyDescent="0.2">
      <c r="A56" s="398" t="s">
        <v>3</v>
      </c>
      <c r="B56" s="399" t="s">
        <v>132</v>
      </c>
      <c r="C56" s="403"/>
      <c r="D56" s="402"/>
      <c r="E56" s="396"/>
      <c r="F56" s="32"/>
    </row>
    <row r="57" spans="1:6" s="5" customFormat="1" ht="12" customHeight="1" x14ac:dyDescent="0.2">
      <c r="A57" s="398"/>
      <c r="B57" s="151" t="s">
        <v>254</v>
      </c>
      <c r="C57" s="403"/>
      <c r="D57" s="402">
        <f>'3 bevételek'!G675</f>
        <v>215510318</v>
      </c>
      <c r="E57" s="396">
        <f t="shared" si="5"/>
        <v>215510318</v>
      </c>
      <c r="F57" s="32"/>
    </row>
    <row r="58" spans="1:6" s="5" customFormat="1" ht="12" customHeight="1" x14ac:dyDescent="0.2">
      <c r="A58" s="398"/>
      <c r="B58" s="151" t="s">
        <v>255</v>
      </c>
      <c r="C58" s="403"/>
      <c r="D58" s="402">
        <f>'3 bevételek'!G676</f>
        <v>257714297</v>
      </c>
      <c r="E58" s="396">
        <f t="shared" si="5"/>
        <v>257714297</v>
      </c>
      <c r="F58" s="32"/>
    </row>
    <row r="59" spans="1:6" s="5" customFormat="1" ht="12" customHeight="1" x14ac:dyDescent="0.2">
      <c r="A59" s="398"/>
      <c r="B59" s="151" t="s">
        <v>256</v>
      </c>
      <c r="C59" s="403"/>
      <c r="D59" s="402">
        <f>'3 bevételek'!G677</f>
        <v>230421516</v>
      </c>
      <c r="E59" s="396">
        <f t="shared" si="5"/>
        <v>230421516</v>
      </c>
      <c r="F59" s="32"/>
    </row>
    <row r="60" spans="1:6" s="5" customFormat="1" ht="12" customHeight="1" x14ac:dyDescent="0.2">
      <c r="A60" s="398" t="s">
        <v>4</v>
      </c>
      <c r="B60" s="366" t="s">
        <v>53</v>
      </c>
      <c r="C60" s="402"/>
      <c r="D60" s="402"/>
      <c r="E60" s="396"/>
    </row>
    <row r="61" spans="1:6" s="5" customFormat="1" ht="12" customHeight="1" x14ac:dyDescent="0.2">
      <c r="A61" s="398"/>
      <c r="B61" s="151" t="s">
        <v>254</v>
      </c>
      <c r="C61" s="402">
        <f>'3 bevételek'!F708</f>
        <v>23541689</v>
      </c>
      <c r="D61" s="402">
        <f>'3 bevételek'!G708</f>
        <v>7258311</v>
      </c>
      <c r="E61" s="396">
        <f t="shared" si="5"/>
        <v>30800000</v>
      </c>
    </row>
    <row r="62" spans="1:6" s="5" customFormat="1" ht="12" customHeight="1" x14ac:dyDescent="0.2">
      <c r="A62" s="398"/>
      <c r="B62" s="151" t="s">
        <v>255</v>
      </c>
      <c r="C62" s="402">
        <f>'3 bevételek'!F709</f>
        <v>38434241</v>
      </c>
      <c r="D62" s="402">
        <f>'3 bevételek'!G709</f>
        <v>0</v>
      </c>
      <c r="E62" s="396">
        <f t="shared" si="5"/>
        <v>38434241</v>
      </c>
    </row>
    <row r="63" spans="1:6" s="5" customFormat="1" ht="12" customHeight="1" x14ac:dyDescent="0.2">
      <c r="A63" s="398"/>
      <c r="B63" s="151" t="s">
        <v>256</v>
      </c>
      <c r="C63" s="402">
        <f>'3 bevételek'!F710</f>
        <v>36573055</v>
      </c>
      <c r="D63" s="402">
        <f>'3 bevételek'!G710</f>
        <v>0</v>
      </c>
      <c r="E63" s="396">
        <f t="shared" si="5"/>
        <v>36573055</v>
      </c>
    </row>
    <row r="64" spans="1:6" s="5" customFormat="1" ht="12" customHeight="1" x14ac:dyDescent="0.2">
      <c r="A64" s="398" t="s">
        <v>5</v>
      </c>
      <c r="B64" s="366" t="s">
        <v>133</v>
      </c>
      <c r="C64" s="402"/>
      <c r="D64" s="403"/>
      <c r="E64" s="396"/>
      <c r="F64" s="32"/>
    </row>
    <row r="65" spans="1:7" s="5" customFormat="1" ht="12" customHeight="1" x14ac:dyDescent="0.2">
      <c r="A65" s="398"/>
      <c r="B65" s="151" t="s">
        <v>254</v>
      </c>
      <c r="C65" s="402">
        <f>'3 bevételek'!F740</f>
        <v>16037113</v>
      </c>
      <c r="D65" s="403"/>
      <c r="E65" s="396">
        <f t="shared" si="5"/>
        <v>16037113</v>
      </c>
      <c r="F65" s="32"/>
    </row>
    <row r="66" spans="1:7" s="5" customFormat="1" ht="12" customHeight="1" x14ac:dyDescent="0.2">
      <c r="A66" s="398"/>
      <c r="B66" s="151" t="s">
        <v>255</v>
      </c>
      <c r="C66" s="402">
        <f>'3 bevételek'!F741</f>
        <v>20004985</v>
      </c>
      <c r="D66" s="403"/>
      <c r="E66" s="396">
        <f t="shared" si="5"/>
        <v>20004985</v>
      </c>
      <c r="F66" s="32"/>
    </row>
    <row r="67" spans="1:7" s="5" customFormat="1" ht="12" customHeight="1" x14ac:dyDescent="0.2">
      <c r="A67" s="398"/>
      <c r="B67" s="151" t="s">
        <v>256</v>
      </c>
      <c r="C67" s="402">
        <f>'3 bevételek'!F742</f>
        <v>15757694</v>
      </c>
      <c r="D67" s="403"/>
      <c r="E67" s="396">
        <f t="shared" si="5"/>
        <v>15757694</v>
      </c>
      <c r="F67" s="32"/>
    </row>
    <row r="68" spans="1:7" s="5" customFormat="1" ht="12" customHeight="1" x14ac:dyDescent="0.2">
      <c r="A68" s="398" t="s">
        <v>6</v>
      </c>
      <c r="B68" s="366" t="s">
        <v>134</v>
      </c>
      <c r="C68" s="403"/>
      <c r="D68" s="402"/>
      <c r="E68" s="396"/>
    </row>
    <row r="69" spans="1:7" s="5" customFormat="1" ht="12" customHeight="1" x14ac:dyDescent="0.2">
      <c r="A69" s="398"/>
      <c r="B69" s="151" t="s">
        <v>254</v>
      </c>
      <c r="C69" s="403"/>
      <c r="D69" s="402">
        <f>'3 bevételek'!G818</f>
        <v>150000</v>
      </c>
      <c r="E69" s="396">
        <f t="shared" si="5"/>
        <v>150000</v>
      </c>
    </row>
    <row r="70" spans="1:7" s="5" customFormat="1" ht="12" customHeight="1" x14ac:dyDescent="0.2">
      <c r="A70" s="398"/>
      <c r="B70" s="151" t="s">
        <v>255</v>
      </c>
      <c r="C70" s="403"/>
      <c r="D70" s="402">
        <f>'3 bevételek'!G819</f>
        <v>3369266</v>
      </c>
      <c r="E70" s="396">
        <f t="shared" si="5"/>
        <v>3369266</v>
      </c>
    </row>
    <row r="71" spans="1:7" s="5" customFormat="1" ht="12" customHeight="1" x14ac:dyDescent="0.2">
      <c r="A71" s="398"/>
      <c r="B71" s="151" t="s">
        <v>256</v>
      </c>
      <c r="C71" s="403"/>
      <c r="D71" s="402">
        <f>'3 bevételek'!G820</f>
        <v>1823266</v>
      </c>
      <c r="E71" s="396">
        <f t="shared" si="5"/>
        <v>1823266</v>
      </c>
    </row>
    <row r="72" spans="1:7" s="5" customFormat="1" ht="12" customHeight="1" x14ac:dyDescent="0.2">
      <c r="A72" s="398" t="s">
        <v>7</v>
      </c>
      <c r="B72" s="366" t="s">
        <v>130</v>
      </c>
      <c r="C72" s="402"/>
      <c r="D72" s="403"/>
      <c r="E72" s="396"/>
    </row>
    <row r="73" spans="1:7" s="5" customFormat="1" ht="12" customHeight="1" x14ac:dyDescent="0.2">
      <c r="A73" s="398"/>
      <c r="B73" s="151" t="s">
        <v>254</v>
      </c>
      <c r="C73" s="402">
        <f>'3 bevételek'!F830</f>
        <v>0</v>
      </c>
      <c r="D73" s="403"/>
      <c r="E73" s="396">
        <f t="shared" si="5"/>
        <v>0</v>
      </c>
    </row>
    <row r="74" spans="1:7" s="5" customFormat="1" ht="12" customHeight="1" x14ac:dyDescent="0.2">
      <c r="A74" s="398"/>
      <c r="B74" s="151" t="s">
        <v>255</v>
      </c>
      <c r="C74" s="402">
        <f>'3 bevételek'!F831</f>
        <v>91197</v>
      </c>
      <c r="D74" s="403"/>
      <c r="E74" s="396">
        <f t="shared" si="5"/>
        <v>91197</v>
      </c>
    </row>
    <row r="75" spans="1:7" s="5" customFormat="1" ht="12" customHeight="1" x14ac:dyDescent="0.2">
      <c r="A75" s="398"/>
      <c r="B75" s="151" t="s">
        <v>256</v>
      </c>
      <c r="C75" s="402">
        <f>'3 bevételek'!F832</f>
        <v>91197</v>
      </c>
      <c r="D75" s="403"/>
      <c r="E75" s="396">
        <f t="shared" si="5"/>
        <v>91197</v>
      </c>
    </row>
    <row r="76" spans="1:7" s="5" customFormat="1" ht="12" customHeight="1" x14ac:dyDescent="0.2">
      <c r="A76" s="398" t="s">
        <v>8</v>
      </c>
      <c r="B76" s="366" t="s">
        <v>129</v>
      </c>
      <c r="C76" s="403"/>
      <c r="D76" s="402"/>
      <c r="E76" s="396"/>
    </row>
    <row r="77" spans="1:7" s="5" customFormat="1" ht="12" customHeight="1" x14ac:dyDescent="0.2">
      <c r="A77" s="398"/>
      <c r="B77" s="151" t="s">
        <v>254</v>
      </c>
      <c r="C77" s="403"/>
      <c r="D77" s="402">
        <f>'3 bevételek'!G835</f>
        <v>0</v>
      </c>
      <c r="E77" s="396">
        <f t="shared" si="5"/>
        <v>0</v>
      </c>
    </row>
    <row r="78" spans="1:7" s="5" customFormat="1" ht="12" customHeight="1" x14ac:dyDescent="0.2">
      <c r="A78" s="398"/>
      <c r="B78" s="151" t="s">
        <v>255</v>
      </c>
      <c r="C78" s="403"/>
      <c r="D78" s="402">
        <f>'3 bevételek'!G836</f>
        <v>5231394</v>
      </c>
      <c r="E78" s="396">
        <f t="shared" si="5"/>
        <v>5231394</v>
      </c>
    </row>
    <row r="79" spans="1:7" s="5" customFormat="1" ht="12" customHeight="1" thickBot="1" x14ac:dyDescent="0.25">
      <c r="A79" s="433"/>
      <c r="B79" s="185" t="s">
        <v>256</v>
      </c>
      <c r="C79" s="434"/>
      <c r="D79" s="402">
        <f>'3 bevételek'!G837</f>
        <v>0</v>
      </c>
      <c r="E79" s="396">
        <f t="shared" si="5"/>
        <v>0</v>
      </c>
    </row>
    <row r="80" spans="1:7" s="6" customFormat="1" ht="14.25" customHeight="1" x14ac:dyDescent="0.2">
      <c r="A80" s="1513" t="s">
        <v>237</v>
      </c>
      <c r="B80" s="1514"/>
      <c r="C80" s="436"/>
      <c r="D80" s="436"/>
      <c r="E80" s="437"/>
      <c r="G80" s="62"/>
    </row>
    <row r="81" spans="1:8" s="6" customFormat="1" ht="14.25" customHeight="1" x14ac:dyDescent="0.2">
      <c r="A81" s="438"/>
      <c r="B81" s="418" t="s">
        <v>254</v>
      </c>
      <c r="C81" s="432">
        <f>C53+C57+C61+C65+C69+C73+C77</f>
        <v>288861602</v>
      </c>
      <c r="D81" s="432">
        <f>D53+D57+D61+D65+D69+D73+D77</f>
        <v>222918629</v>
      </c>
      <c r="E81" s="439">
        <f>SUM(C81:D81)</f>
        <v>511780231</v>
      </c>
      <c r="G81" s="62"/>
    </row>
    <row r="82" spans="1:8" s="6" customFormat="1" ht="14.25" customHeight="1" x14ac:dyDescent="0.2">
      <c r="A82" s="438"/>
      <c r="B82" s="418" t="s">
        <v>255</v>
      </c>
      <c r="C82" s="432">
        <f t="shared" ref="C82:D83" si="6">C54+C58+C62+C66+C70+C74+C78</f>
        <v>319974075</v>
      </c>
      <c r="D82" s="432">
        <f t="shared" si="6"/>
        <v>266314957</v>
      </c>
      <c r="E82" s="439">
        <f t="shared" ref="E82:E83" si="7">SUM(C82:D82)</f>
        <v>586289032</v>
      </c>
      <c r="G82" s="62"/>
    </row>
    <row r="83" spans="1:8" s="6" customFormat="1" ht="14.25" customHeight="1" thickBot="1" x14ac:dyDescent="0.25">
      <c r="A83" s="440"/>
      <c r="B83" s="429" t="s">
        <v>256</v>
      </c>
      <c r="C83" s="432">
        <f>C55+C59+C63+C67+C71+C75+C79</f>
        <v>304575899</v>
      </c>
      <c r="D83" s="432">
        <f t="shared" si="6"/>
        <v>232244782</v>
      </c>
      <c r="E83" s="439">
        <f t="shared" si="7"/>
        <v>536820681</v>
      </c>
      <c r="G83" s="62"/>
    </row>
    <row r="84" spans="1:8" s="7" customFormat="1" ht="15" customHeight="1" x14ac:dyDescent="0.2">
      <c r="A84" s="1515" t="s">
        <v>178</v>
      </c>
      <c r="B84" s="1516"/>
      <c r="C84" s="441"/>
      <c r="D84" s="441"/>
      <c r="E84" s="442"/>
    </row>
    <row r="85" spans="1:8" s="7" customFormat="1" ht="15" customHeight="1" x14ac:dyDescent="0.2">
      <c r="A85" s="443"/>
      <c r="B85" s="444" t="s">
        <v>254</v>
      </c>
      <c r="C85" s="445">
        <f>C81+C45</f>
        <v>300675602</v>
      </c>
      <c r="D85" s="445">
        <f>D81+D45</f>
        <v>222918629</v>
      </c>
      <c r="E85" s="446">
        <f>SUM(C85:D85)</f>
        <v>523594231</v>
      </c>
    </row>
    <row r="86" spans="1:8" s="7" customFormat="1" ht="15" customHeight="1" x14ac:dyDescent="0.2">
      <c r="A86" s="443"/>
      <c r="B86" s="444" t="s">
        <v>255</v>
      </c>
      <c r="C86" s="445">
        <f t="shared" ref="C86:D87" si="8">C82+C46</f>
        <v>334903128</v>
      </c>
      <c r="D86" s="445">
        <f t="shared" si="8"/>
        <v>266314957</v>
      </c>
      <c r="E86" s="446">
        <f t="shared" ref="E86:E87" si="9">SUM(C86:D86)</f>
        <v>601218085</v>
      </c>
    </row>
    <row r="87" spans="1:8" s="7" customFormat="1" ht="15" customHeight="1" thickBot="1" x14ac:dyDescent="0.25">
      <c r="A87" s="447"/>
      <c r="B87" s="448" t="s">
        <v>256</v>
      </c>
      <c r="C87" s="449">
        <f>C83+C47</f>
        <v>316183730</v>
      </c>
      <c r="D87" s="449">
        <f t="shared" si="8"/>
        <v>232244782</v>
      </c>
      <c r="E87" s="450">
        <f t="shared" si="9"/>
        <v>548428512</v>
      </c>
    </row>
    <row r="88" spans="1:8" s="7" customFormat="1" ht="30.75" customHeight="1" x14ac:dyDescent="0.2">
      <c r="A88" s="1517" t="s">
        <v>181</v>
      </c>
      <c r="B88" s="1517"/>
      <c r="C88" s="435"/>
      <c r="D88" s="435"/>
      <c r="E88" s="435"/>
      <c r="G88" s="31"/>
      <c r="H88" s="31"/>
    </row>
    <row r="89" spans="1:8" s="7" customFormat="1" ht="16.5" customHeight="1" x14ac:dyDescent="0.2">
      <c r="A89" s="405"/>
      <c r="B89" s="151" t="s">
        <v>254</v>
      </c>
      <c r="C89" s="397">
        <f>C85-C176</f>
        <v>-99999999.430000007</v>
      </c>
      <c r="D89" s="397">
        <f>D85-D176</f>
        <v>-195488846</v>
      </c>
      <c r="E89" s="397">
        <f>SUM(C89:D89)</f>
        <v>-295488845.43000001</v>
      </c>
      <c r="G89" s="31"/>
      <c r="H89" s="31"/>
    </row>
    <row r="90" spans="1:8" s="7" customFormat="1" ht="12.75" customHeight="1" x14ac:dyDescent="0.2">
      <c r="A90" s="405"/>
      <c r="B90" s="151" t="s">
        <v>255</v>
      </c>
      <c r="C90" s="397">
        <f t="shared" ref="C90:D91" si="10">C86-C177</f>
        <v>-183279133</v>
      </c>
      <c r="D90" s="397">
        <f t="shared" si="10"/>
        <v>-176264634.10000002</v>
      </c>
      <c r="E90" s="397">
        <f t="shared" ref="E90:E116" si="11">SUM(C90:D90)</f>
        <v>-359543767.10000002</v>
      </c>
      <c r="G90" s="31"/>
      <c r="H90" s="31"/>
    </row>
    <row r="91" spans="1:8" s="7" customFormat="1" ht="11.25" customHeight="1" x14ac:dyDescent="0.2">
      <c r="A91" s="405"/>
      <c r="B91" s="151" t="s">
        <v>256</v>
      </c>
      <c r="C91" s="397">
        <f t="shared" si="10"/>
        <v>-150885102.99000001</v>
      </c>
      <c r="D91" s="397">
        <f t="shared" si="10"/>
        <v>85293890.930000007</v>
      </c>
      <c r="E91" s="397">
        <f t="shared" si="11"/>
        <v>-65591212.060000002</v>
      </c>
      <c r="G91" s="31"/>
      <c r="H91" s="31"/>
    </row>
    <row r="92" spans="1:8" s="7" customFormat="1" ht="21" customHeight="1" x14ac:dyDescent="0.2">
      <c r="A92" s="463" t="s">
        <v>24</v>
      </c>
      <c r="B92" s="464" t="s">
        <v>234</v>
      </c>
      <c r="C92" s="460"/>
      <c r="D92" s="460"/>
      <c r="E92" s="460"/>
      <c r="G92" s="31"/>
      <c r="H92" s="31"/>
    </row>
    <row r="93" spans="1:8" s="7" customFormat="1" ht="13.5" customHeight="1" x14ac:dyDescent="0.2">
      <c r="A93" s="465"/>
      <c r="B93" s="357" t="s">
        <v>254</v>
      </c>
      <c r="C93" s="460">
        <f>C102+C98</f>
        <v>295488846</v>
      </c>
      <c r="D93" s="460">
        <f>D102+D98</f>
        <v>0</v>
      </c>
      <c r="E93" s="460">
        <f t="shared" si="11"/>
        <v>295488846</v>
      </c>
      <c r="G93" s="31"/>
      <c r="H93" s="31"/>
    </row>
    <row r="94" spans="1:8" s="7" customFormat="1" ht="14.25" customHeight="1" x14ac:dyDescent="0.2">
      <c r="A94" s="465"/>
      <c r="B94" s="357" t="s">
        <v>255</v>
      </c>
      <c r="C94" s="460">
        <f t="shared" ref="C94" si="12">C103+C99</f>
        <v>359543767</v>
      </c>
      <c r="D94" s="460">
        <f>D103+D99</f>
        <v>0</v>
      </c>
      <c r="E94" s="460">
        <f t="shared" si="11"/>
        <v>359543767</v>
      </c>
      <c r="G94" s="31"/>
      <c r="H94" s="31"/>
    </row>
    <row r="95" spans="1:8" s="7" customFormat="1" ht="10.5" customHeight="1" x14ac:dyDescent="0.2">
      <c r="A95" s="465"/>
      <c r="B95" s="357" t="s">
        <v>256</v>
      </c>
      <c r="C95" s="460">
        <f>C104+C100</f>
        <v>359249986</v>
      </c>
      <c r="D95" s="460">
        <f>D104+D100</f>
        <v>0</v>
      </c>
      <c r="E95" s="460">
        <f t="shared" si="11"/>
        <v>359249986</v>
      </c>
      <c r="G95" s="31"/>
      <c r="H95" s="31"/>
    </row>
    <row r="96" spans="1:8" s="7" customFormat="1" ht="27" customHeight="1" x14ac:dyDescent="0.2">
      <c r="A96" s="462"/>
      <c r="B96" s="395" t="s">
        <v>179</v>
      </c>
      <c r="C96" s="397"/>
      <c r="D96" s="397"/>
      <c r="E96" s="397"/>
      <c r="G96" s="31"/>
      <c r="H96" s="31"/>
    </row>
    <row r="97" spans="1:9" s="7" customFormat="1" ht="24.75" customHeight="1" x14ac:dyDescent="0.2">
      <c r="A97" s="405"/>
      <c r="B97" s="395" t="s">
        <v>191</v>
      </c>
      <c r="C97" s="397"/>
      <c r="D97" s="397"/>
      <c r="E97" s="397"/>
      <c r="G97" s="31"/>
      <c r="H97" s="31"/>
    </row>
    <row r="98" spans="1:9" s="7" customFormat="1" ht="12.75" customHeight="1" x14ac:dyDescent="0.2">
      <c r="A98" s="405"/>
      <c r="B98" s="151" t="s">
        <v>254</v>
      </c>
      <c r="C98" s="397">
        <f>'3 bevételek'!F522</f>
        <v>0</v>
      </c>
      <c r="D98" s="397"/>
      <c r="E98" s="397">
        <f t="shared" si="11"/>
        <v>0</v>
      </c>
      <c r="G98" s="31"/>
      <c r="H98" s="31"/>
    </row>
    <row r="99" spans="1:9" s="7" customFormat="1" ht="16.5" customHeight="1" x14ac:dyDescent="0.2">
      <c r="A99" s="405"/>
      <c r="B99" s="151" t="s">
        <v>255</v>
      </c>
      <c r="C99" s="397">
        <f>'3 bevételek'!F523</f>
        <v>202567</v>
      </c>
      <c r="D99" s="397"/>
      <c r="E99" s="397">
        <f t="shared" si="11"/>
        <v>202567</v>
      </c>
      <c r="G99" s="31"/>
      <c r="H99" s="31"/>
    </row>
    <row r="100" spans="1:9" s="7" customFormat="1" ht="10.5" customHeight="1" x14ac:dyDescent="0.2">
      <c r="A100" s="405"/>
      <c r="B100" s="151" t="s">
        <v>256</v>
      </c>
      <c r="C100" s="397">
        <f>'3 bevételek'!F524</f>
        <v>202567</v>
      </c>
      <c r="D100" s="397"/>
      <c r="E100" s="397">
        <f t="shared" si="11"/>
        <v>202567</v>
      </c>
      <c r="G100" s="31"/>
      <c r="H100" s="31"/>
    </row>
    <row r="101" spans="1:9" s="7" customFormat="1" ht="18.75" customHeight="1" x14ac:dyDescent="0.2">
      <c r="A101" s="1507"/>
      <c r="B101" s="406" t="s">
        <v>233</v>
      </c>
      <c r="C101" s="397"/>
      <c r="D101" s="397"/>
      <c r="E101" s="397"/>
      <c r="G101" s="31"/>
    </row>
    <row r="102" spans="1:9" s="7" customFormat="1" ht="12.75" customHeight="1" x14ac:dyDescent="0.2">
      <c r="A102" s="1508"/>
      <c r="B102" s="151" t="s">
        <v>254</v>
      </c>
      <c r="C102" s="397">
        <f>C106+C110+C114</f>
        <v>295488846</v>
      </c>
      <c r="D102" s="397">
        <f>D106+D110+D114</f>
        <v>0</v>
      </c>
      <c r="E102" s="397">
        <f t="shared" si="11"/>
        <v>295488846</v>
      </c>
      <c r="G102" s="31"/>
    </row>
    <row r="103" spans="1:9" s="7" customFormat="1" ht="10.5" customHeight="1" x14ac:dyDescent="0.2">
      <c r="A103" s="1508"/>
      <c r="B103" s="151" t="s">
        <v>255</v>
      </c>
      <c r="C103" s="397">
        <f t="shared" ref="C103:D104" si="13">C107+C111+C115</f>
        <v>359341200</v>
      </c>
      <c r="D103" s="397">
        <f t="shared" si="13"/>
        <v>0</v>
      </c>
      <c r="E103" s="397">
        <f t="shared" si="11"/>
        <v>359341200</v>
      </c>
      <c r="G103" s="31"/>
    </row>
    <row r="104" spans="1:9" s="7" customFormat="1" ht="9.75" customHeight="1" x14ac:dyDescent="0.2">
      <c r="A104" s="1509"/>
      <c r="B104" s="151" t="s">
        <v>256</v>
      </c>
      <c r="C104" s="397">
        <f t="shared" si="13"/>
        <v>359047419</v>
      </c>
      <c r="D104" s="397">
        <f t="shared" si="13"/>
        <v>0</v>
      </c>
      <c r="E104" s="397">
        <f>SUM(C104:D104)</f>
        <v>359047419</v>
      </c>
      <c r="G104" s="31"/>
    </row>
    <row r="105" spans="1:9" s="7" customFormat="1" ht="38.25" customHeight="1" x14ac:dyDescent="0.2">
      <c r="A105" s="407" t="s">
        <v>2</v>
      </c>
      <c r="B105" s="409" t="s">
        <v>197</v>
      </c>
      <c r="C105" s="397"/>
      <c r="D105" s="408"/>
      <c r="E105" s="397"/>
      <c r="F105" s="77"/>
      <c r="G105" s="78"/>
      <c r="I105" s="78"/>
    </row>
    <row r="106" spans="1:9" s="7" customFormat="1" ht="15" customHeight="1" x14ac:dyDescent="0.2">
      <c r="A106" s="407"/>
      <c r="B106" s="151" t="s">
        <v>254</v>
      </c>
      <c r="C106" s="397">
        <f>'3 bevételek'!F843</f>
        <v>100000000</v>
      </c>
      <c r="D106" s="397">
        <f>'3 bevételek'!G843</f>
        <v>0</v>
      </c>
      <c r="E106" s="397">
        <f t="shared" si="11"/>
        <v>100000000</v>
      </c>
      <c r="F106" s="77"/>
      <c r="G106" s="78"/>
      <c r="H106" s="78"/>
      <c r="I106" s="78"/>
    </row>
    <row r="107" spans="1:9" s="7" customFormat="1" ht="13.5" customHeight="1" x14ac:dyDescent="0.2">
      <c r="A107" s="407"/>
      <c r="B107" s="151" t="s">
        <v>255</v>
      </c>
      <c r="C107" s="397">
        <f>'3 bevételek'!F844</f>
        <v>155000000</v>
      </c>
      <c r="D107" s="397">
        <f>'3 bevételek'!G844</f>
        <v>0</v>
      </c>
      <c r="E107" s="397">
        <f t="shared" si="11"/>
        <v>155000000</v>
      </c>
      <c r="F107" s="77"/>
      <c r="G107" s="78"/>
      <c r="H107" s="78"/>
      <c r="I107" s="78"/>
    </row>
    <row r="108" spans="1:9" s="7" customFormat="1" ht="13.5" customHeight="1" x14ac:dyDescent="0.2">
      <c r="A108" s="407"/>
      <c r="B108" s="151" t="s">
        <v>256</v>
      </c>
      <c r="C108" s="397">
        <f>'3 bevételek'!F845</f>
        <v>154891094</v>
      </c>
      <c r="D108" s="397">
        <f>'3 bevételek'!G845</f>
        <v>0</v>
      </c>
      <c r="E108" s="397">
        <f t="shared" si="11"/>
        <v>154891094</v>
      </c>
      <c r="F108" s="77"/>
      <c r="G108" s="78"/>
      <c r="H108" s="78"/>
      <c r="I108" s="78"/>
    </row>
    <row r="109" spans="1:9" s="8" customFormat="1" ht="36" customHeight="1" x14ac:dyDescent="0.2">
      <c r="A109" s="360">
        <v>2</v>
      </c>
      <c r="B109" s="395" t="s">
        <v>191</v>
      </c>
      <c r="C109" s="329"/>
      <c r="D109" s="329"/>
      <c r="E109" s="397"/>
      <c r="F109" s="80"/>
      <c r="G109" s="80"/>
      <c r="H109" s="81"/>
      <c r="I109" s="79"/>
    </row>
    <row r="110" spans="1:9" s="8" customFormat="1" ht="15.75" customHeight="1" x14ac:dyDescent="0.2">
      <c r="A110" s="360"/>
      <c r="B110" s="151" t="s">
        <v>254</v>
      </c>
      <c r="C110" s="329">
        <f>'3 bevételek'!F847</f>
        <v>195488846</v>
      </c>
      <c r="D110" s="329">
        <f>'3 bevételek'!G847</f>
        <v>0</v>
      </c>
      <c r="E110" s="397">
        <f t="shared" si="11"/>
        <v>195488846</v>
      </c>
      <c r="F110" s="80"/>
      <c r="G110" s="80"/>
      <c r="H110" s="81"/>
      <c r="I110" s="79"/>
    </row>
    <row r="111" spans="1:9" s="8" customFormat="1" ht="11.25" customHeight="1" x14ac:dyDescent="0.2">
      <c r="A111" s="360"/>
      <c r="B111" s="151" t="s">
        <v>255</v>
      </c>
      <c r="C111" s="329">
        <f>'3 bevételek'!F848</f>
        <v>195792011</v>
      </c>
      <c r="D111" s="329">
        <f>'3 bevételek'!G848</f>
        <v>0</v>
      </c>
      <c r="E111" s="397">
        <f t="shared" si="11"/>
        <v>195792011</v>
      </c>
      <c r="F111" s="80"/>
      <c r="G111" s="80"/>
      <c r="H111" s="81"/>
      <c r="I111" s="79"/>
    </row>
    <row r="112" spans="1:9" s="8" customFormat="1" ht="11.25" customHeight="1" x14ac:dyDescent="0.2">
      <c r="A112" s="360"/>
      <c r="B112" s="151" t="s">
        <v>256</v>
      </c>
      <c r="C112" s="329">
        <f>'3 bevételek'!F849</f>
        <v>195792011</v>
      </c>
      <c r="D112" s="329">
        <f>'3 bevételek'!G849</f>
        <v>0</v>
      </c>
      <c r="E112" s="397">
        <f t="shared" si="11"/>
        <v>195792011</v>
      </c>
      <c r="F112" s="80"/>
      <c r="G112" s="80"/>
      <c r="H112" s="81"/>
      <c r="I112" s="79"/>
    </row>
    <row r="113" spans="1:9" s="8" customFormat="1" ht="12.75" customHeight="1" x14ac:dyDescent="0.2">
      <c r="A113" s="360">
        <v>3</v>
      </c>
      <c r="B113" s="359" t="s">
        <v>198</v>
      </c>
      <c r="C113" s="329"/>
      <c r="D113" s="329"/>
      <c r="E113" s="397"/>
      <c r="F113" s="80"/>
      <c r="G113" s="80"/>
      <c r="H113" s="81"/>
      <c r="I113" s="79"/>
    </row>
    <row r="114" spans="1:9" s="8" customFormat="1" ht="12.75" customHeight="1" x14ac:dyDescent="0.2">
      <c r="A114" s="360"/>
      <c r="B114" s="151" t="s">
        <v>254</v>
      </c>
      <c r="C114" s="329">
        <f>'3 bevételek'!F851</f>
        <v>0</v>
      </c>
      <c r="D114" s="329">
        <f>'3 bevételek'!G851</f>
        <v>0</v>
      </c>
      <c r="E114" s="397">
        <f t="shared" si="11"/>
        <v>0</v>
      </c>
      <c r="F114" s="80"/>
      <c r="G114" s="80"/>
      <c r="H114" s="81"/>
      <c r="I114" s="79"/>
    </row>
    <row r="115" spans="1:9" s="8" customFormat="1" ht="12.75" customHeight="1" x14ac:dyDescent="0.2">
      <c r="A115" s="360"/>
      <c r="B115" s="151" t="s">
        <v>255</v>
      </c>
      <c r="C115" s="329">
        <f>'3 bevételek'!F852</f>
        <v>8549189</v>
      </c>
      <c r="D115" s="329">
        <f>'3 bevételek'!G852</f>
        <v>0</v>
      </c>
      <c r="E115" s="397">
        <f t="shared" si="11"/>
        <v>8549189</v>
      </c>
      <c r="F115" s="80"/>
      <c r="G115" s="80"/>
      <c r="H115" s="81"/>
      <c r="I115" s="79"/>
    </row>
    <row r="116" spans="1:9" s="8" customFormat="1" ht="12.75" customHeight="1" thickBot="1" x14ac:dyDescent="0.25">
      <c r="A116" s="451"/>
      <c r="B116" s="185" t="s">
        <v>256</v>
      </c>
      <c r="C116" s="329">
        <f>'3 bevételek'!F853</f>
        <v>8364314</v>
      </c>
      <c r="D116" s="329">
        <f>'3 bevételek'!G853</f>
        <v>0</v>
      </c>
      <c r="E116" s="397">
        <f t="shared" si="11"/>
        <v>8364314</v>
      </c>
      <c r="F116" s="80"/>
      <c r="G116" s="80"/>
      <c r="H116" s="81"/>
      <c r="I116" s="79"/>
    </row>
    <row r="117" spans="1:9" s="34" customFormat="1" ht="24.75" customHeight="1" x14ac:dyDescent="0.2">
      <c r="A117" s="1500" t="s">
        <v>75</v>
      </c>
      <c r="B117" s="1501"/>
      <c r="C117" s="441"/>
      <c r="D117" s="441"/>
      <c r="E117" s="442"/>
      <c r="F117" s="82"/>
      <c r="G117" s="83"/>
      <c r="H117" s="82"/>
      <c r="I117" s="82"/>
    </row>
    <row r="118" spans="1:9" s="34" customFormat="1" ht="11.25" customHeight="1" x14ac:dyDescent="0.2">
      <c r="A118" s="453"/>
      <c r="B118" s="444" t="s">
        <v>254</v>
      </c>
      <c r="C118" s="445">
        <f t="shared" ref="C118:D120" si="14">C85+C93</f>
        <v>596164448</v>
      </c>
      <c r="D118" s="445">
        <f t="shared" si="14"/>
        <v>222918629</v>
      </c>
      <c r="E118" s="446">
        <f>C118+D118</f>
        <v>819083077</v>
      </c>
      <c r="F118" s="82"/>
      <c r="G118" s="83"/>
      <c r="H118" s="82"/>
      <c r="I118" s="82"/>
    </row>
    <row r="119" spans="1:9" s="34" customFormat="1" ht="12.75" customHeight="1" x14ac:dyDescent="0.2">
      <c r="A119" s="453"/>
      <c r="B119" s="444" t="s">
        <v>255</v>
      </c>
      <c r="C119" s="445">
        <f t="shared" si="14"/>
        <v>694446895</v>
      </c>
      <c r="D119" s="445">
        <f t="shared" si="14"/>
        <v>266314957</v>
      </c>
      <c r="E119" s="446">
        <f t="shared" ref="E119" si="15">C119+D119</f>
        <v>960761852</v>
      </c>
      <c r="F119" s="82"/>
      <c r="G119" s="83">
        <f>960761852-E119</f>
        <v>0</v>
      </c>
      <c r="H119" s="82"/>
      <c r="I119" s="82"/>
    </row>
    <row r="120" spans="1:9" s="34" customFormat="1" ht="10.5" customHeight="1" thickBot="1" x14ac:dyDescent="0.25">
      <c r="A120" s="454"/>
      <c r="B120" s="448" t="s">
        <v>256</v>
      </c>
      <c r="C120" s="445">
        <f t="shared" si="14"/>
        <v>675433716</v>
      </c>
      <c r="D120" s="445">
        <f t="shared" si="14"/>
        <v>232244782</v>
      </c>
      <c r="E120" s="446">
        <f>C120+D120</f>
        <v>907678498</v>
      </c>
      <c r="F120" s="83"/>
      <c r="G120" s="83">
        <f>E120-907678498</f>
        <v>0</v>
      </c>
      <c r="H120" s="82"/>
      <c r="I120" s="82"/>
    </row>
    <row r="121" spans="1:9" s="3" customFormat="1" x14ac:dyDescent="0.2">
      <c r="A121" s="1505" t="s">
        <v>13</v>
      </c>
      <c r="B121" s="1505"/>
      <c r="C121" s="452" t="s">
        <v>14</v>
      </c>
      <c r="D121" s="452" t="s">
        <v>15</v>
      </c>
      <c r="E121" s="1505" t="s">
        <v>16</v>
      </c>
    </row>
    <row r="122" spans="1:9" s="3" customFormat="1" x14ac:dyDescent="0.2">
      <c r="A122" s="1506"/>
      <c r="B122" s="1506"/>
      <c r="C122" s="410" t="s">
        <v>17</v>
      </c>
      <c r="D122" s="410" t="s">
        <v>17</v>
      </c>
      <c r="E122" s="1506"/>
    </row>
    <row r="123" spans="1:9" ht="19.5" customHeight="1" x14ac:dyDescent="0.2">
      <c r="A123" s="398"/>
      <c r="B123" s="366"/>
      <c r="C123" s="411"/>
      <c r="D123" s="411"/>
      <c r="E123" s="398"/>
    </row>
    <row r="124" spans="1:9" ht="13.5" customHeight="1" x14ac:dyDescent="0.15">
      <c r="A124" s="1502" t="s">
        <v>21</v>
      </c>
      <c r="B124" s="1502"/>
      <c r="C124" s="1502"/>
      <c r="D124" s="1502"/>
      <c r="E124" s="1502"/>
    </row>
    <row r="125" spans="1:9" s="4" customFormat="1" ht="11.25" customHeight="1" x14ac:dyDescent="0.2">
      <c r="A125" s="394" t="s">
        <v>19</v>
      </c>
      <c r="B125" s="406" t="s">
        <v>57</v>
      </c>
      <c r="C125" s="412"/>
      <c r="D125" s="413"/>
      <c r="E125" s="407"/>
    </row>
    <row r="126" spans="1:9" s="5" customFormat="1" ht="13.5" customHeight="1" x14ac:dyDescent="0.2">
      <c r="A126" s="398" t="s">
        <v>2</v>
      </c>
      <c r="B126" s="366" t="s">
        <v>11</v>
      </c>
      <c r="C126" s="402"/>
      <c r="D126" s="403"/>
      <c r="E126" s="404"/>
    </row>
    <row r="127" spans="1:9" s="5" customFormat="1" ht="13.5" customHeight="1" x14ac:dyDescent="0.2">
      <c r="A127" s="398"/>
      <c r="B127" s="151" t="s">
        <v>254</v>
      </c>
      <c r="C127" s="402">
        <f>'3 bevételek'!F865</f>
        <v>151696653</v>
      </c>
      <c r="D127" s="403"/>
      <c r="E127" s="404">
        <f t="shared" ref="E127:E177" si="16">SUM(C127:D127)</f>
        <v>151696653</v>
      </c>
    </row>
    <row r="128" spans="1:9" s="5" customFormat="1" ht="13.5" customHeight="1" x14ac:dyDescent="0.2">
      <c r="A128" s="398"/>
      <c r="B128" s="151" t="s">
        <v>255</v>
      </c>
      <c r="C128" s="402">
        <f>'3 bevételek'!F866</f>
        <v>168513217</v>
      </c>
      <c r="D128" s="403"/>
      <c r="E128" s="404">
        <f t="shared" si="16"/>
        <v>168513217</v>
      </c>
    </row>
    <row r="129" spans="1:8" s="5" customFormat="1" ht="13.5" customHeight="1" x14ac:dyDescent="0.2">
      <c r="A129" s="398"/>
      <c r="B129" s="151" t="s">
        <v>256</v>
      </c>
      <c r="C129" s="402">
        <f>'3 bevételek'!F867</f>
        <v>139289116</v>
      </c>
      <c r="D129" s="403"/>
      <c r="E129" s="404">
        <f t="shared" si="16"/>
        <v>139289116</v>
      </c>
    </row>
    <row r="130" spans="1:8" s="5" customFormat="1" ht="13.5" customHeight="1" x14ac:dyDescent="0.2">
      <c r="A130" s="398" t="s">
        <v>3</v>
      </c>
      <c r="B130" s="366" t="s">
        <v>56</v>
      </c>
      <c r="C130" s="402"/>
      <c r="D130" s="403"/>
      <c r="E130" s="404"/>
    </row>
    <row r="131" spans="1:8" s="5" customFormat="1" ht="13.5" customHeight="1" x14ac:dyDescent="0.2">
      <c r="A131" s="398"/>
      <c r="B131" s="151" t="s">
        <v>254</v>
      </c>
      <c r="C131" s="402">
        <f>'3 bevételek'!F869</f>
        <v>28881559.43</v>
      </c>
      <c r="D131" s="403"/>
      <c r="E131" s="404">
        <f t="shared" si="16"/>
        <v>28881559.43</v>
      </c>
    </row>
    <row r="132" spans="1:8" s="5" customFormat="1" ht="13.5" customHeight="1" x14ac:dyDescent="0.2">
      <c r="A132" s="398"/>
      <c r="B132" s="151" t="s">
        <v>255</v>
      </c>
      <c r="C132" s="402">
        <f>'3 bevételek'!F870</f>
        <v>32215966</v>
      </c>
      <c r="D132" s="403"/>
      <c r="E132" s="404">
        <f t="shared" si="16"/>
        <v>32215966</v>
      </c>
    </row>
    <row r="133" spans="1:8" s="5" customFormat="1" ht="13.5" customHeight="1" x14ac:dyDescent="0.2">
      <c r="A133" s="398"/>
      <c r="B133" s="151" t="s">
        <v>256</v>
      </c>
      <c r="C133" s="402">
        <f>'3 bevételek'!F871</f>
        <v>25434764.23</v>
      </c>
      <c r="D133" s="403"/>
      <c r="E133" s="404">
        <f t="shared" si="16"/>
        <v>25434764.23</v>
      </c>
    </row>
    <row r="134" spans="1:8" s="5" customFormat="1" ht="13.5" customHeight="1" x14ac:dyDescent="0.2">
      <c r="A134" s="398" t="s">
        <v>4</v>
      </c>
      <c r="B134" s="366" t="s">
        <v>12</v>
      </c>
      <c r="C134" s="402"/>
      <c r="D134" s="403"/>
      <c r="E134" s="404"/>
    </row>
    <row r="135" spans="1:8" s="5" customFormat="1" ht="13.5" customHeight="1" x14ac:dyDescent="0.2">
      <c r="A135" s="398"/>
      <c r="B135" s="151" t="s">
        <v>254</v>
      </c>
      <c r="C135" s="402">
        <f>'3 bevételek'!F873</f>
        <v>105517465</v>
      </c>
      <c r="D135" s="403"/>
      <c r="E135" s="404">
        <f t="shared" si="16"/>
        <v>105517465</v>
      </c>
    </row>
    <row r="136" spans="1:8" s="5" customFormat="1" ht="13.5" customHeight="1" x14ac:dyDescent="0.2">
      <c r="A136" s="398"/>
      <c r="B136" s="151" t="s">
        <v>255</v>
      </c>
      <c r="C136" s="402">
        <f>'3 bevételek'!F874</f>
        <v>136138309</v>
      </c>
      <c r="D136" s="403"/>
      <c r="E136" s="404">
        <f t="shared" si="16"/>
        <v>136138309</v>
      </c>
    </row>
    <row r="137" spans="1:8" s="5" customFormat="1" ht="13.5" customHeight="1" x14ac:dyDescent="0.2">
      <c r="A137" s="398"/>
      <c r="B137" s="151" t="s">
        <v>256</v>
      </c>
      <c r="C137" s="402">
        <f>'3 bevételek'!F875</f>
        <v>131520692.76000001</v>
      </c>
      <c r="D137" s="403"/>
      <c r="E137" s="404">
        <f t="shared" si="16"/>
        <v>131520692.76000001</v>
      </c>
    </row>
    <row r="138" spans="1:8" s="5" customFormat="1" ht="13.5" customHeight="1" x14ac:dyDescent="0.2">
      <c r="A138" s="398" t="s">
        <v>5</v>
      </c>
      <c r="B138" s="358" t="s">
        <v>51</v>
      </c>
      <c r="C138" s="402">
        <f>'3 bevételek'!F786</f>
        <v>0</v>
      </c>
      <c r="D138" s="403"/>
      <c r="E138" s="404">
        <f t="shared" si="16"/>
        <v>0</v>
      </c>
      <c r="G138" s="32"/>
    </row>
    <row r="139" spans="1:8" s="5" customFormat="1" ht="13.5" customHeight="1" x14ac:dyDescent="0.2">
      <c r="A139" s="398"/>
      <c r="B139" s="151" t="s">
        <v>254</v>
      </c>
      <c r="C139" s="402">
        <f>'3 bevételek'!F877</f>
        <v>3919000</v>
      </c>
      <c r="D139" s="403"/>
      <c r="E139" s="404">
        <f t="shared" si="16"/>
        <v>3919000</v>
      </c>
      <c r="G139" s="32"/>
    </row>
    <row r="140" spans="1:8" s="5" customFormat="1" ht="13.5" customHeight="1" x14ac:dyDescent="0.2">
      <c r="A140" s="398"/>
      <c r="B140" s="151" t="s">
        <v>255</v>
      </c>
      <c r="C140" s="402">
        <f>'3 bevételek'!F878</f>
        <v>3919000</v>
      </c>
      <c r="D140" s="403"/>
      <c r="E140" s="404">
        <f t="shared" si="16"/>
        <v>3919000</v>
      </c>
      <c r="G140" s="32"/>
    </row>
    <row r="141" spans="1:8" s="5" customFormat="1" ht="13.5" customHeight="1" x14ac:dyDescent="0.2">
      <c r="A141" s="398"/>
      <c r="B141" s="151" t="s">
        <v>256</v>
      </c>
      <c r="C141" s="402">
        <f>'3 bevételek'!F879</f>
        <v>2866121</v>
      </c>
      <c r="D141" s="403"/>
      <c r="E141" s="404">
        <f t="shared" si="16"/>
        <v>2866121</v>
      </c>
      <c r="G141" s="32"/>
    </row>
    <row r="142" spans="1:8" s="5" customFormat="1" ht="13.5" customHeight="1" x14ac:dyDescent="0.2">
      <c r="A142" s="398" t="s">
        <v>7</v>
      </c>
      <c r="B142" s="414" t="s">
        <v>49</v>
      </c>
      <c r="C142" s="402">
        <f>'3 bevételek'!F787</f>
        <v>0</v>
      </c>
      <c r="D142" s="403"/>
      <c r="E142" s="404">
        <f t="shared" si="16"/>
        <v>0</v>
      </c>
      <c r="F142" s="32"/>
      <c r="H142" s="32"/>
    </row>
    <row r="143" spans="1:8" s="5" customFormat="1" ht="13.5" customHeight="1" x14ac:dyDescent="0.2">
      <c r="A143" s="398"/>
      <c r="B143" s="151" t="s">
        <v>254</v>
      </c>
      <c r="C143" s="402">
        <f>'3 bevételek'!F881</f>
        <v>10660924</v>
      </c>
      <c r="D143" s="403"/>
      <c r="E143" s="404">
        <f t="shared" si="16"/>
        <v>10660924</v>
      </c>
      <c r="F143" s="32"/>
      <c r="H143" s="32"/>
    </row>
    <row r="144" spans="1:8" s="5" customFormat="1" ht="13.5" customHeight="1" x14ac:dyDescent="0.2">
      <c r="A144" s="398"/>
      <c r="B144" s="151" t="s">
        <v>255</v>
      </c>
      <c r="C144" s="402">
        <f>'3 bevételek'!F882</f>
        <v>13846580</v>
      </c>
      <c r="D144" s="403"/>
      <c r="E144" s="404">
        <f t="shared" si="16"/>
        <v>13846580</v>
      </c>
      <c r="F144" s="32"/>
      <c r="H144" s="32"/>
    </row>
    <row r="145" spans="1:8" s="5" customFormat="1" ht="13.5" customHeight="1" x14ac:dyDescent="0.2">
      <c r="A145" s="398"/>
      <c r="B145" s="151" t="s">
        <v>256</v>
      </c>
      <c r="C145" s="402">
        <f>'3 bevételek'!F883</f>
        <v>4517856</v>
      </c>
      <c r="D145" s="403"/>
      <c r="E145" s="404">
        <f t="shared" si="16"/>
        <v>4517856</v>
      </c>
      <c r="F145" s="32"/>
      <c r="H145" s="32"/>
    </row>
    <row r="146" spans="1:8" s="6" customFormat="1" ht="14.25" customHeight="1" x14ac:dyDescent="0.2">
      <c r="A146" s="1497" t="s">
        <v>58</v>
      </c>
      <c r="B146" s="1497"/>
      <c r="C146" s="404"/>
      <c r="D146" s="415"/>
      <c r="E146" s="404">
        <f t="shared" si="16"/>
        <v>0</v>
      </c>
    </row>
    <row r="147" spans="1:8" s="6" customFormat="1" ht="14.25" customHeight="1" x14ac:dyDescent="0.2">
      <c r="A147" s="400"/>
      <c r="B147" s="151" t="s">
        <v>254</v>
      </c>
      <c r="C147" s="404">
        <f>'3 bevételek'!F885</f>
        <v>300675601.43000001</v>
      </c>
      <c r="D147" s="415"/>
      <c r="E147" s="404">
        <f t="shared" si="16"/>
        <v>300675601.43000001</v>
      </c>
    </row>
    <row r="148" spans="1:8" s="6" customFormat="1" ht="14.25" customHeight="1" x14ac:dyDescent="0.2">
      <c r="A148" s="400"/>
      <c r="B148" s="151" t="s">
        <v>255</v>
      </c>
      <c r="C148" s="404">
        <f>'3 bevételek'!F886</f>
        <v>354633072</v>
      </c>
      <c r="D148" s="415"/>
      <c r="E148" s="404">
        <f t="shared" si="16"/>
        <v>354633072</v>
      </c>
    </row>
    <row r="149" spans="1:8" s="6" customFormat="1" ht="14.25" customHeight="1" x14ac:dyDescent="0.2">
      <c r="A149" s="400"/>
      <c r="B149" s="151" t="s">
        <v>256</v>
      </c>
      <c r="C149" s="404">
        <f>'3 bevételek'!F887</f>
        <v>303628549.99000001</v>
      </c>
      <c r="D149" s="415"/>
      <c r="E149" s="404">
        <f>SUM(C149:D149)</f>
        <v>303628549.99000001</v>
      </c>
    </row>
    <row r="150" spans="1:8" s="4" customFormat="1" ht="15" customHeight="1" x14ac:dyDescent="0.2">
      <c r="A150" s="394" t="s">
        <v>20</v>
      </c>
      <c r="B150" s="406" t="s">
        <v>59</v>
      </c>
      <c r="C150" s="416"/>
      <c r="D150" s="396"/>
      <c r="E150" s="404"/>
    </row>
    <row r="151" spans="1:8" s="5" customFormat="1" ht="13.5" customHeight="1" x14ac:dyDescent="0.2">
      <c r="A151" s="398" t="s">
        <v>2</v>
      </c>
      <c r="B151" s="366" t="s">
        <v>22</v>
      </c>
      <c r="C151" s="403"/>
      <c r="D151" s="402"/>
      <c r="E151" s="404"/>
    </row>
    <row r="152" spans="1:8" s="5" customFormat="1" ht="13.5" customHeight="1" x14ac:dyDescent="0.2">
      <c r="A152" s="398"/>
      <c r="B152" s="151" t="s">
        <v>254</v>
      </c>
      <c r="C152" s="403"/>
      <c r="D152" s="402">
        <f>'3 bevételek'!G890</f>
        <v>283681877</v>
      </c>
      <c r="E152" s="404">
        <f t="shared" si="16"/>
        <v>283681877</v>
      </c>
    </row>
    <row r="153" spans="1:8" s="5" customFormat="1" ht="13.5" customHeight="1" x14ac:dyDescent="0.2">
      <c r="A153" s="398"/>
      <c r="B153" s="151" t="s">
        <v>255</v>
      </c>
      <c r="C153" s="403"/>
      <c r="D153" s="402">
        <f>'3 bevételek'!G891</f>
        <v>287622599.10000002</v>
      </c>
      <c r="E153" s="404">
        <f>SUM(C153:D153)</f>
        <v>287622599.10000002</v>
      </c>
      <c r="F153" s="32"/>
    </row>
    <row r="154" spans="1:8" s="5" customFormat="1" ht="13.5" customHeight="1" x14ac:dyDescent="0.2">
      <c r="A154" s="398"/>
      <c r="B154" s="151" t="s">
        <v>256</v>
      </c>
      <c r="C154" s="403"/>
      <c r="D154" s="402">
        <f>'3 bevételek'!G892</f>
        <v>20155821.07</v>
      </c>
      <c r="E154" s="404">
        <f t="shared" si="16"/>
        <v>20155821.07</v>
      </c>
      <c r="F154" s="32"/>
      <c r="G154" s="32"/>
    </row>
    <row r="155" spans="1:8" s="5" customFormat="1" ht="12" customHeight="1" x14ac:dyDescent="0.2">
      <c r="A155" s="398" t="s">
        <v>3</v>
      </c>
      <c r="B155" s="366" t="s">
        <v>23</v>
      </c>
      <c r="C155" s="403"/>
      <c r="D155" s="402"/>
      <c r="E155" s="404"/>
    </row>
    <row r="156" spans="1:8" s="5" customFormat="1" ht="12" customHeight="1" x14ac:dyDescent="0.2">
      <c r="A156" s="398"/>
      <c r="B156" s="151" t="s">
        <v>254</v>
      </c>
      <c r="C156" s="403"/>
      <c r="D156" s="402">
        <f>'3 bevételek'!G894</f>
        <v>134725598</v>
      </c>
      <c r="E156" s="404">
        <f t="shared" si="16"/>
        <v>134725598</v>
      </c>
      <c r="F156" s="32"/>
      <c r="G156" s="32"/>
    </row>
    <row r="157" spans="1:8" s="5" customFormat="1" ht="12" customHeight="1" x14ac:dyDescent="0.2">
      <c r="A157" s="398"/>
      <c r="B157" s="151" t="s">
        <v>255</v>
      </c>
      <c r="C157" s="403"/>
      <c r="D157" s="402">
        <f>'3 bevételek'!G895</f>
        <v>149725598</v>
      </c>
      <c r="E157" s="404">
        <f t="shared" si="16"/>
        <v>149725598</v>
      </c>
    </row>
    <row r="158" spans="1:8" s="5" customFormat="1" ht="12" customHeight="1" x14ac:dyDescent="0.2">
      <c r="A158" s="398"/>
      <c r="B158" s="151" t="s">
        <v>256</v>
      </c>
      <c r="C158" s="403"/>
      <c r="D158" s="402">
        <f>'3 bevételek'!G896</f>
        <v>126795070</v>
      </c>
      <c r="E158" s="404">
        <f t="shared" si="16"/>
        <v>126795070</v>
      </c>
    </row>
    <row r="159" spans="1:8" s="5" customFormat="1" ht="12" customHeight="1" x14ac:dyDescent="0.2">
      <c r="A159" s="398" t="s">
        <v>4</v>
      </c>
      <c r="B159" s="366" t="s">
        <v>27</v>
      </c>
      <c r="C159" s="403"/>
      <c r="D159" s="402"/>
      <c r="E159" s="404"/>
    </row>
    <row r="160" spans="1:8" s="5" customFormat="1" ht="12" customHeight="1" x14ac:dyDescent="0.2">
      <c r="A160" s="398"/>
      <c r="B160" s="151" t="s">
        <v>254</v>
      </c>
      <c r="C160" s="403"/>
      <c r="D160" s="402">
        <f>'3 bevételek'!G898</f>
        <v>0</v>
      </c>
      <c r="E160" s="404">
        <f t="shared" si="16"/>
        <v>0</v>
      </c>
    </row>
    <row r="161" spans="1:8" s="5" customFormat="1" ht="12" customHeight="1" x14ac:dyDescent="0.2">
      <c r="A161" s="398"/>
      <c r="B161" s="151" t="s">
        <v>255</v>
      </c>
      <c r="C161" s="403"/>
      <c r="D161" s="402">
        <f>'3 bevételek'!G899</f>
        <v>5231394</v>
      </c>
      <c r="E161" s="404">
        <f t="shared" si="16"/>
        <v>5231394</v>
      </c>
    </row>
    <row r="162" spans="1:8" s="5" customFormat="1" ht="12" customHeight="1" thickBot="1" x14ac:dyDescent="0.25">
      <c r="A162" s="52"/>
      <c r="B162" s="158" t="s">
        <v>256</v>
      </c>
      <c r="C162" s="361"/>
      <c r="D162" s="402">
        <f>'3 bevételek'!G900</f>
        <v>0</v>
      </c>
      <c r="E162" s="404">
        <f t="shared" si="16"/>
        <v>0</v>
      </c>
    </row>
    <row r="163" spans="1:8" s="6" customFormat="1" ht="12.75" customHeight="1" thickTop="1" thickBot="1" x14ac:dyDescent="0.25">
      <c r="A163" s="1498" t="s">
        <v>60</v>
      </c>
      <c r="B163" s="1499"/>
      <c r="C163" s="58"/>
      <c r="D163" s="84"/>
      <c r="E163" s="404"/>
      <c r="F163" s="62"/>
      <c r="G163" s="62"/>
      <c r="H163" s="62"/>
    </row>
    <row r="164" spans="1:8" s="6" customFormat="1" ht="12.75" customHeight="1" thickTop="1" thickBot="1" x14ac:dyDescent="0.25">
      <c r="A164" s="223"/>
      <c r="B164" s="151" t="s">
        <v>254</v>
      </c>
      <c r="C164" s="362"/>
      <c r="D164" s="85">
        <f>'3 bevételek'!G902</f>
        <v>418407475</v>
      </c>
      <c r="E164" s="404">
        <f t="shared" si="16"/>
        <v>418407475</v>
      </c>
      <c r="F164" s="62"/>
      <c r="G164" s="62"/>
      <c r="H164" s="62"/>
    </row>
    <row r="165" spans="1:8" s="6" customFormat="1" ht="12.75" customHeight="1" thickTop="1" thickBot="1" x14ac:dyDescent="0.25">
      <c r="A165" s="223"/>
      <c r="B165" s="151" t="s">
        <v>255</v>
      </c>
      <c r="C165" s="362"/>
      <c r="D165" s="85">
        <f>'3 bevételek'!G903</f>
        <v>442579591.10000002</v>
      </c>
      <c r="E165" s="404">
        <f t="shared" si="16"/>
        <v>442579591.10000002</v>
      </c>
      <c r="F165" s="62"/>
      <c r="G165" s="62"/>
      <c r="H165" s="62"/>
    </row>
    <row r="166" spans="1:8" s="6" customFormat="1" ht="12.75" customHeight="1" thickTop="1" thickBot="1" x14ac:dyDescent="0.25">
      <c r="A166" s="223"/>
      <c r="B166" s="151" t="s">
        <v>256</v>
      </c>
      <c r="C166" s="362"/>
      <c r="D166" s="85">
        <f>'3 bevételek'!G904</f>
        <v>146950891.06999999</v>
      </c>
      <c r="E166" s="404">
        <f t="shared" si="16"/>
        <v>146950891.06999999</v>
      </c>
      <c r="F166" s="62"/>
      <c r="G166" s="62"/>
      <c r="H166" s="62"/>
    </row>
    <row r="167" spans="1:8" s="6" customFormat="1" ht="12.75" customHeight="1" thickTop="1" thickBot="1" x14ac:dyDescent="0.25">
      <c r="A167" s="1503" t="s">
        <v>180</v>
      </c>
      <c r="B167" s="1504"/>
      <c r="C167" s="85">
        <f>C146</f>
        <v>0</v>
      </c>
      <c r="D167" s="85">
        <f>D163</f>
        <v>0</v>
      </c>
      <c r="E167" s="404">
        <f t="shared" si="16"/>
        <v>0</v>
      </c>
      <c r="F167" s="62"/>
      <c r="G167" s="62"/>
      <c r="H167" s="62"/>
    </row>
    <row r="168" spans="1:8" s="6" customFormat="1" ht="12.75" customHeight="1" thickTop="1" thickBot="1" x14ac:dyDescent="0.25">
      <c r="A168" s="53"/>
      <c r="B168" s="151" t="s">
        <v>254</v>
      </c>
      <c r="C168" s="85">
        <f>C147</f>
        <v>300675601.43000001</v>
      </c>
      <c r="D168" s="85">
        <f>D164</f>
        <v>418407475</v>
      </c>
      <c r="E168" s="404">
        <f t="shared" si="16"/>
        <v>719083076.43000007</v>
      </c>
      <c r="F168" s="62"/>
      <c r="G168" s="62"/>
      <c r="H168" s="62"/>
    </row>
    <row r="169" spans="1:8" s="6" customFormat="1" ht="12.75" customHeight="1" thickTop="1" thickBot="1" x14ac:dyDescent="0.25">
      <c r="A169" s="53"/>
      <c r="B169" s="151" t="s">
        <v>255</v>
      </c>
      <c r="C169" s="85">
        <f t="shared" ref="C169:C170" si="17">C148</f>
        <v>354633072</v>
      </c>
      <c r="D169" s="85">
        <f t="shared" ref="D169:D170" si="18">D165</f>
        <v>442579591.10000002</v>
      </c>
      <c r="E169" s="404">
        <f t="shared" si="16"/>
        <v>797212663.10000002</v>
      </c>
      <c r="F169" s="62"/>
      <c r="G169" s="62"/>
      <c r="H169" s="62"/>
    </row>
    <row r="170" spans="1:8" s="6" customFormat="1" ht="12.75" customHeight="1" thickTop="1" thickBot="1" x14ac:dyDescent="0.25">
      <c r="A170" s="53"/>
      <c r="B170" s="151" t="s">
        <v>256</v>
      </c>
      <c r="C170" s="85">
        <f t="shared" si="17"/>
        <v>303628549.99000001</v>
      </c>
      <c r="D170" s="85">
        <f t="shared" si="18"/>
        <v>146950891.06999999</v>
      </c>
      <c r="E170" s="404">
        <f t="shared" si="16"/>
        <v>450579441.06</v>
      </c>
      <c r="F170" s="62"/>
      <c r="G170" s="62"/>
      <c r="H170" s="62"/>
    </row>
    <row r="171" spans="1:8" s="6" customFormat="1" ht="12.75" customHeight="1" thickTop="1" x14ac:dyDescent="0.2">
      <c r="A171" s="363" t="s">
        <v>24</v>
      </c>
      <c r="B171" s="54" t="s">
        <v>45</v>
      </c>
      <c r="C171" s="85"/>
      <c r="D171" s="85"/>
      <c r="E171" s="404">
        <f t="shared" si="16"/>
        <v>0</v>
      </c>
    </row>
    <row r="172" spans="1:8" s="6" customFormat="1" ht="12.75" customHeight="1" x14ac:dyDescent="0.2">
      <c r="A172" s="364"/>
      <c r="B172" s="151" t="s">
        <v>254</v>
      </c>
      <c r="C172" s="86">
        <f>'3 bevételek'!F906</f>
        <v>100000000</v>
      </c>
      <c r="D172" s="86">
        <f>'3 bevételek'!G906</f>
        <v>0</v>
      </c>
      <c r="E172" s="404">
        <f t="shared" si="16"/>
        <v>100000000</v>
      </c>
    </row>
    <row r="173" spans="1:8" s="6" customFormat="1" ht="12.75" customHeight="1" x14ac:dyDescent="0.2">
      <c r="A173" s="364"/>
      <c r="B173" s="151" t="s">
        <v>255</v>
      </c>
      <c r="C173" s="86">
        <f>'3 bevételek'!F907</f>
        <v>163549189</v>
      </c>
      <c r="D173" s="86">
        <f>'3 bevételek'!G907</f>
        <v>0</v>
      </c>
      <c r="E173" s="404">
        <f t="shared" si="16"/>
        <v>163549189</v>
      </c>
    </row>
    <row r="174" spans="1:8" s="6" customFormat="1" ht="14.25" customHeight="1" thickBot="1" x14ac:dyDescent="0.25">
      <c r="A174" s="365"/>
      <c r="B174" s="151" t="s">
        <v>256</v>
      </c>
      <c r="C174" s="86">
        <f>'3 bevételek'!F908</f>
        <v>163440283</v>
      </c>
      <c r="D174" s="86">
        <f>'3 bevételek'!G908</f>
        <v>0</v>
      </c>
      <c r="E174" s="404">
        <f t="shared" si="16"/>
        <v>163440283</v>
      </c>
      <c r="F174" s="62"/>
    </row>
    <row r="175" spans="1:8" s="7" customFormat="1" ht="15" customHeight="1" thickTop="1" x14ac:dyDescent="0.2">
      <c r="A175" s="1495" t="s">
        <v>125</v>
      </c>
      <c r="B175" s="1496"/>
      <c r="C175" s="455"/>
      <c r="D175" s="455"/>
      <c r="E175" s="456"/>
      <c r="F175" s="31"/>
      <c r="G175" s="78"/>
      <c r="H175" s="31"/>
    </row>
    <row r="176" spans="1:8" x14ac:dyDescent="0.2">
      <c r="A176" s="457"/>
      <c r="B176" s="444" t="s">
        <v>254</v>
      </c>
      <c r="C176" s="458">
        <f>'3 bevételek'!F910</f>
        <v>400675601.43000001</v>
      </c>
      <c r="D176" s="458">
        <f>'3 bevételek'!G910</f>
        <v>418407475</v>
      </c>
      <c r="E176" s="456">
        <f>SUM(C176:D176)+1</f>
        <v>819083077.43000007</v>
      </c>
      <c r="F176" s="63"/>
      <c r="G176" s="116"/>
      <c r="H176" s="63"/>
    </row>
    <row r="177" spans="1:7" x14ac:dyDescent="0.2">
      <c r="A177" s="457"/>
      <c r="B177" s="444" t="s">
        <v>255</v>
      </c>
      <c r="C177" s="458">
        <f>'3 bevételek'!F911</f>
        <v>518182261</v>
      </c>
      <c r="D177" s="458">
        <f>'3 bevételek'!G911</f>
        <v>442579591.10000002</v>
      </c>
      <c r="E177" s="456">
        <f t="shared" si="16"/>
        <v>960761852.10000002</v>
      </c>
      <c r="F177" s="63"/>
      <c r="G177" s="63"/>
    </row>
    <row r="178" spans="1:7" x14ac:dyDescent="0.2">
      <c r="A178" s="457"/>
      <c r="B178" s="444" t="s">
        <v>256</v>
      </c>
      <c r="C178" s="458">
        <f>'3 bevételek'!F912</f>
        <v>467068832.99000001</v>
      </c>
      <c r="D178" s="458">
        <f>'3 bevételek'!G912</f>
        <v>146950891.06999999</v>
      </c>
      <c r="E178" s="456">
        <f>SUM(C178:D178)</f>
        <v>614019724.05999994</v>
      </c>
      <c r="F178" s="63"/>
    </row>
    <row r="179" spans="1:7" x14ac:dyDescent="0.2">
      <c r="C179" s="55"/>
      <c r="D179" s="55"/>
      <c r="E179" s="55"/>
    </row>
    <row r="180" spans="1:7" x14ac:dyDescent="0.2">
      <c r="C180" s="55"/>
      <c r="D180" s="55"/>
      <c r="E180" s="55"/>
    </row>
    <row r="183" spans="1:7" x14ac:dyDescent="0.2">
      <c r="C183" s="59"/>
      <c r="D183" s="59"/>
      <c r="E183" s="59"/>
      <c r="F183" s="61"/>
    </row>
  </sheetData>
  <mergeCells count="24">
    <mergeCell ref="A80:B80"/>
    <mergeCell ref="A84:B84"/>
    <mergeCell ref="A88:B88"/>
    <mergeCell ref="A28:A31"/>
    <mergeCell ref="A32:A35"/>
    <mergeCell ref="A36:A39"/>
    <mergeCell ref="A40:A43"/>
    <mergeCell ref="A44:A47"/>
    <mergeCell ref="C1:E1"/>
    <mergeCell ref="A8:B9"/>
    <mergeCell ref="E8:E9"/>
    <mergeCell ref="A11:E11"/>
    <mergeCell ref="A175:B175"/>
    <mergeCell ref="A146:B146"/>
    <mergeCell ref="A163:B163"/>
    <mergeCell ref="A117:B117"/>
    <mergeCell ref="A124:E124"/>
    <mergeCell ref="A167:B167"/>
    <mergeCell ref="A121:B122"/>
    <mergeCell ref="E121:E122"/>
    <mergeCell ref="A101:A104"/>
    <mergeCell ref="A16:A19"/>
    <mergeCell ref="A20:A23"/>
    <mergeCell ref="A24:A2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2"/>
  <sheetViews>
    <sheetView view="pageBreakPreview" topLeftCell="A716" zoomScaleSheetLayoutView="100" workbookViewId="0">
      <selection activeCell="A855" sqref="A1:H1048576"/>
    </sheetView>
  </sheetViews>
  <sheetFormatPr defaultRowHeight="12" customHeight="1" x14ac:dyDescent="0.2"/>
  <cols>
    <col min="1" max="1" width="3.140625" style="36" customWidth="1"/>
    <col min="2" max="2" width="3.85546875" style="36" customWidth="1"/>
    <col min="3" max="3" width="9" style="36" customWidth="1"/>
    <col min="4" max="4" width="11.5703125" style="36" customWidth="1"/>
    <col min="5" max="5" width="81" style="37" customWidth="1"/>
    <col min="6" max="6" width="13.7109375" style="107" customWidth="1"/>
    <col min="7" max="7" width="13.42578125" style="107" customWidth="1"/>
    <col min="8" max="8" width="14.42578125" style="107" customWidth="1"/>
    <col min="9" max="9" width="10.7109375" style="8" customWidth="1"/>
    <col min="10" max="10" width="10.140625" style="8" bestFit="1" customWidth="1"/>
    <col min="11" max="11" width="10" style="8" bestFit="1" customWidth="1"/>
    <col min="12" max="13" width="9.5703125" style="8" bestFit="1" customWidth="1"/>
    <col min="14" max="14" width="10.28515625" style="8" bestFit="1" customWidth="1"/>
    <col min="15" max="15" width="9.5703125" style="8" bestFit="1" customWidth="1"/>
    <col min="16" max="16384" width="9.140625" style="8"/>
  </cols>
  <sheetData>
    <row r="1" spans="1:12" ht="12" customHeight="1" x14ac:dyDescent="0.2">
      <c r="A1" s="95"/>
      <c r="B1" s="95"/>
      <c r="C1" s="95"/>
      <c r="D1" s="95"/>
      <c r="E1" s="1722"/>
      <c r="F1" s="1722"/>
      <c r="G1" s="1722"/>
      <c r="H1" s="1722"/>
    </row>
    <row r="2" spans="1:12" ht="15" customHeight="1" x14ac:dyDescent="0.2">
      <c r="A2" s="96"/>
      <c r="B2" s="96"/>
      <c r="C2" s="96"/>
      <c r="D2" s="96"/>
      <c r="E2" s="97"/>
      <c r="F2" s="98"/>
      <c r="G2" s="98"/>
      <c r="H2" s="98"/>
    </row>
    <row r="3" spans="1:12" ht="14.25" customHeight="1" thickBot="1" x14ac:dyDescent="0.25">
      <c r="A3" s="99"/>
      <c r="B3" s="99"/>
      <c r="C3" s="99"/>
      <c r="D3" s="99"/>
      <c r="E3" s="100"/>
      <c r="F3" s="101"/>
      <c r="G3" s="101"/>
      <c r="H3" s="102"/>
      <c r="I3" s="69"/>
      <c r="J3" s="69"/>
      <c r="K3" s="69"/>
      <c r="L3" s="69"/>
    </row>
    <row r="4" spans="1:12" ht="27" customHeight="1" x14ac:dyDescent="0.2">
      <c r="A4" s="103"/>
      <c r="B4" s="104"/>
      <c r="C4" s="1727" t="s">
        <v>80</v>
      </c>
      <c r="D4" s="1733" t="s">
        <v>175</v>
      </c>
      <c r="E4" s="1729" t="s">
        <v>25</v>
      </c>
      <c r="F4" s="1723" t="s">
        <v>139</v>
      </c>
      <c r="G4" s="1723" t="s">
        <v>152</v>
      </c>
      <c r="H4" s="1725" t="s">
        <v>16</v>
      </c>
      <c r="I4" s="69"/>
      <c r="J4" s="69"/>
      <c r="K4" s="69"/>
      <c r="L4" s="69"/>
    </row>
    <row r="5" spans="1:12" ht="29.25" customHeight="1" thickBot="1" x14ac:dyDescent="0.25">
      <c r="A5" s="105"/>
      <c r="B5" s="106"/>
      <c r="C5" s="1728"/>
      <c r="D5" s="1734"/>
      <c r="E5" s="1730"/>
      <c r="F5" s="1724"/>
      <c r="G5" s="1724"/>
      <c r="H5" s="1726"/>
      <c r="I5" s="69"/>
      <c r="J5" s="69"/>
      <c r="K5" s="69"/>
      <c r="L5" s="69"/>
    </row>
    <row r="6" spans="1:12" s="9" customFormat="1" ht="18" customHeight="1" thickBot="1" x14ac:dyDescent="0.25">
      <c r="A6" s="345" t="s">
        <v>82</v>
      </c>
      <c r="B6" s="346"/>
      <c r="C6" s="347"/>
      <c r="D6" s="1731" t="s">
        <v>69</v>
      </c>
      <c r="E6" s="1731"/>
      <c r="F6" s="1731"/>
      <c r="G6" s="1731"/>
      <c r="H6" s="1732"/>
      <c r="I6" s="70"/>
      <c r="J6" s="70"/>
      <c r="K6" s="70"/>
      <c r="L6" s="70"/>
    </row>
    <row r="7" spans="1:12" ht="13.5" thickBot="1" x14ac:dyDescent="0.25">
      <c r="A7" s="1598" t="s">
        <v>81</v>
      </c>
      <c r="B7" s="1599"/>
      <c r="C7" s="1599"/>
      <c r="D7" s="1599"/>
      <c r="E7" s="1599"/>
      <c r="F7" s="1599"/>
      <c r="G7" s="1599"/>
      <c r="H7" s="1600"/>
      <c r="I7" s="69"/>
      <c r="J7" s="69"/>
      <c r="K7" s="69"/>
      <c r="L7" s="69"/>
    </row>
    <row r="8" spans="1:12" ht="12.75" customHeight="1" x14ac:dyDescent="0.2">
      <c r="A8" s="1573" t="s">
        <v>621</v>
      </c>
      <c r="B8" s="1574"/>
      <c r="C8" s="1574"/>
      <c r="D8" s="1574"/>
      <c r="E8" s="1575"/>
      <c r="F8" s="117"/>
      <c r="G8" s="117"/>
      <c r="H8" s="117"/>
      <c r="I8" s="69"/>
      <c r="J8" s="69"/>
      <c r="K8" s="69"/>
      <c r="L8" s="69"/>
    </row>
    <row r="9" spans="1:12" ht="12.75" customHeight="1" x14ac:dyDescent="0.2">
      <c r="A9" s="672"/>
      <c r="B9" s="672"/>
      <c r="C9" s="672"/>
      <c r="D9" s="672"/>
      <c r="E9" s="202" t="s">
        <v>254</v>
      </c>
      <c r="F9" s="117">
        <f>F13+F17</f>
        <v>0</v>
      </c>
      <c r="G9" s="117">
        <f>G13+G17</f>
        <v>0</v>
      </c>
      <c r="H9" s="117">
        <f>F9+G9</f>
        <v>0</v>
      </c>
      <c r="I9" s="69"/>
      <c r="J9" s="69"/>
      <c r="K9" s="69"/>
      <c r="L9" s="69"/>
    </row>
    <row r="10" spans="1:12" ht="12.75" customHeight="1" x14ac:dyDescent="0.2">
      <c r="A10" s="672"/>
      <c r="B10" s="672"/>
      <c r="C10" s="672"/>
      <c r="D10" s="672"/>
      <c r="E10" s="202" t="s">
        <v>255</v>
      </c>
      <c r="F10" s="117">
        <f t="shared" ref="F10:G11" si="0">F14+F18</f>
        <v>746480</v>
      </c>
      <c r="G10" s="117">
        <f t="shared" si="0"/>
        <v>0</v>
      </c>
      <c r="H10" s="117">
        <f t="shared" ref="H10:H11" si="1">F10+G10</f>
        <v>746480</v>
      </c>
      <c r="I10" s="69"/>
      <c r="J10" s="69"/>
      <c r="K10" s="69"/>
      <c r="L10" s="69"/>
    </row>
    <row r="11" spans="1:12" ht="12.75" customHeight="1" x14ac:dyDescent="0.2">
      <c r="A11" s="672"/>
      <c r="B11" s="672"/>
      <c r="C11" s="672"/>
      <c r="D11" s="672"/>
      <c r="E11" s="675" t="s">
        <v>256</v>
      </c>
      <c r="F11" s="117">
        <f t="shared" si="0"/>
        <v>746480</v>
      </c>
      <c r="G11" s="117">
        <f t="shared" si="0"/>
        <v>0</v>
      </c>
      <c r="H11" s="117">
        <f t="shared" si="1"/>
        <v>746480</v>
      </c>
      <c r="I11" s="69"/>
      <c r="J11" s="69"/>
      <c r="K11" s="69"/>
      <c r="L11" s="69"/>
    </row>
    <row r="12" spans="1:12" ht="12.75" customHeight="1" x14ac:dyDescent="0.2">
      <c r="A12" s="1542"/>
      <c r="B12" s="1542"/>
      <c r="C12" s="1542"/>
      <c r="D12" s="1542" t="s">
        <v>54</v>
      </c>
      <c r="E12" s="138" t="s">
        <v>65</v>
      </c>
      <c r="F12" s="117"/>
      <c r="G12" s="117"/>
      <c r="H12" s="117"/>
      <c r="I12" s="69"/>
      <c r="J12" s="69"/>
      <c r="K12" s="69"/>
      <c r="L12" s="69"/>
    </row>
    <row r="13" spans="1:12" ht="12.75" customHeight="1" x14ac:dyDescent="0.2">
      <c r="A13" s="1542"/>
      <c r="B13" s="1542"/>
      <c r="C13" s="1542"/>
      <c r="D13" s="1542"/>
      <c r="E13" s="312" t="s">
        <v>254</v>
      </c>
      <c r="F13" s="117">
        <f>F22</f>
        <v>0</v>
      </c>
      <c r="G13" s="117">
        <f>G22</f>
        <v>0</v>
      </c>
      <c r="H13" s="117">
        <f>F13+G13</f>
        <v>0</v>
      </c>
      <c r="I13" s="69"/>
      <c r="J13" s="69"/>
      <c r="K13" s="69"/>
      <c r="L13" s="69"/>
    </row>
    <row r="14" spans="1:12" ht="12.75" customHeight="1" x14ac:dyDescent="0.2">
      <c r="A14" s="1542"/>
      <c r="B14" s="1542"/>
      <c r="C14" s="1542"/>
      <c r="D14" s="1542"/>
      <c r="E14" s="312" t="s">
        <v>255</v>
      </c>
      <c r="F14" s="117">
        <f t="shared" ref="F14:G15" si="2">F23</f>
        <v>746480</v>
      </c>
      <c r="G14" s="117">
        <f t="shared" si="2"/>
        <v>0</v>
      </c>
      <c r="H14" s="117">
        <f t="shared" ref="H14:H15" si="3">F14+G14</f>
        <v>746480</v>
      </c>
      <c r="I14" s="69"/>
      <c r="J14" s="69"/>
      <c r="K14" s="69"/>
      <c r="L14" s="69"/>
    </row>
    <row r="15" spans="1:12" ht="12.75" customHeight="1" x14ac:dyDescent="0.2">
      <c r="A15" s="1542"/>
      <c r="B15" s="1542"/>
      <c r="C15" s="1542"/>
      <c r="D15" s="1542"/>
      <c r="E15" s="312" t="s">
        <v>256</v>
      </c>
      <c r="F15" s="117">
        <f t="shared" si="2"/>
        <v>746480</v>
      </c>
      <c r="G15" s="117">
        <f t="shared" si="2"/>
        <v>0</v>
      </c>
      <c r="H15" s="117">
        <f t="shared" si="3"/>
        <v>746480</v>
      </c>
      <c r="I15" s="69"/>
      <c r="J15" s="69"/>
      <c r="K15" s="69"/>
      <c r="L15" s="69"/>
    </row>
    <row r="16" spans="1:12" ht="12.75" customHeight="1" x14ac:dyDescent="0.2">
      <c r="A16" s="1542"/>
      <c r="B16" s="1542"/>
      <c r="C16" s="1542"/>
      <c r="D16" s="1542" t="s">
        <v>55</v>
      </c>
      <c r="E16" s="315" t="s">
        <v>66</v>
      </c>
      <c r="F16" s="117"/>
      <c r="G16" s="117"/>
      <c r="H16" s="117"/>
      <c r="I16" s="69"/>
      <c r="J16" s="69"/>
      <c r="K16" s="69"/>
      <c r="L16" s="69"/>
    </row>
    <row r="17" spans="1:12" ht="12.75" customHeight="1" x14ac:dyDescent="0.2">
      <c r="A17" s="1542"/>
      <c r="B17" s="1542"/>
      <c r="C17" s="1542"/>
      <c r="D17" s="1542"/>
      <c r="E17" s="312" t="s">
        <v>254</v>
      </c>
      <c r="F17" s="117">
        <f>F26</f>
        <v>0</v>
      </c>
      <c r="G17" s="117">
        <f>G26</f>
        <v>0</v>
      </c>
      <c r="H17" s="117">
        <f>F17+G17</f>
        <v>0</v>
      </c>
      <c r="I17" s="69"/>
      <c r="J17" s="69"/>
      <c r="K17" s="69"/>
      <c r="L17" s="69"/>
    </row>
    <row r="18" spans="1:12" ht="12.75" customHeight="1" x14ac:dyDescent="0.2">
      <c r="A18" s="1542"/>
      <c r="B18" s="1542"/>
      <c r="C18" s="1542"/>
      <c r="D18" s="1542"/>
      <c r="E18" s="312" t="s">
        <v>255</v>
      </c>
      <c r="F18" s="117">
        <f t="shared" ref="F18:G19" si="4">F27</f>
        <v>0</v>
      </c>
      <c r="G18" s="117">
        <f t="shared" si="4"/>
        <v>0</v>
      </c>
      <c r="H18" s="117">
        <f t="shared" ref="H18:H19" si="5">F18+G18</f>
        <v>0</v>
      </c>
      <c r="I18" s="69"/>
      <c r="J18" s="69"/>
      <c r="K18" s="69"/>
      <c r="L18" s="69"/>
    </row>
    <row r="19" spans="1:12" ht="12.75" customHeight="1" x14ac:dyDescent="0.2">
      <c r="A19" s="1542"/>
      <c r="B19" s="1542"/>
      <c r="C19" s="1542"/>
      <c r="D19" s="1542"/>
      <c r="E19" s="312" t="s">
        <v>256</v>
      </c>
      <c r="F19" s="117">
        <f t="shared" si="4"/>
        <v>0</v>
      </c>
      <c r="G19" s="117">
        <f t="shared" si="4"/>
        <v>0</v>
      </c>
      <c r="H19" s="117">
        <f t="shared" si="5"/>
        <v>0</v>
      </c>
      <c r="I19" s="69"/>
      <c r="J19" s="69"/>
      <c r="K19" s="69"/>
      <c r="L19" s="69"/>
    </row>
    <row r="20" spans="1:12" ht="12.75" customHeight="1" x14ac:dyDescent="0.2">
      <c r="A20" s="1536">
        <v>1</v>
      </c>
      <c r="B20" s="1537"/>
      <c r="C20" s="676" t="s">
        <v>153</v>
      </c>
      <c r="D20" s="676" t="s">
        <v>54</v>
      </c>
      <c r="E20" s="339" t="s">
        <v>622</v>
      </c>
      <c r="F20" s="328"/>
      <c r="G20" s="328"/>
      <c r="H20" s="328">
        <f t="shared" ref="H20" si="6">F20+G20</f>
        <v>0</v>
      </c>
      <c r="I20" s="69"/>
      <c r="J20" s="69"/>
      <c r="K20" s="69"/>
      <c r="L20" s="69"/>
    </row>
    <row r="21" spans="1:12" ht="12.75" customHeight="1" x14ac:dyDescent="0.2">
      <c r="A21" s="1538"/>
      <c r="B21" s="1539"/>
      <c r="C21" s="676"/>
      <c r="D21" s="676"/>
      <c r="E21" s="337" t="s">
        <v>65</v>
      </c>
      <c r="F21" s="328"/>
      <c r="G21" s="328"/>
      <c r="H21" s="328"/>
      <c r="I21" s="69"/>
      <c r="J21" s="69"/>
      <c r="K21" s="69"/>
      <c r="L21" s="69"/>
    </row>
    <row r="22" spans="1:12" ht="12.75" customHeight="1" x14ac:dyDescent="0.2">
      <c r="A22" s="1538"/>
      <c r="B22" s="1539"/>
      <c r="C22" s="676"/>
      <c r="D22" s="676"/>
      <c r="E22" s="321" t="s">
        <v>254</v>
      </c>
      <c r="F22" s="328">
        <f>F30+F42+F54</f>
        <v>0</v>
      </c>
      <c r="G22" s="328">
        <f>G30+G42+G54</f>
        <v>0</v>
      </c>
      <c r="H22" s="328">
        <f>F22+G22</f>
        <v>0</v>
      </c>
      <c r="I22" s="69"/>
      <c r="J22" s="69"/>
      <c r="K22" s="69"/>
      <c r="L22" s="69"/>
    </row>
    <row r="23" spans="1:12" ht="12.75" customHeight="1" x14ac:dyDescent="0.2">
      <c r="A23" s="1538"/>
      <c r="B23" s="1539"/>
      <c r="C23" s="676"/>
      <c r="D23" s="676"/>
      <c r="E23" s="321" t="s">
        <v>255</v>
      </c>
      <c r="F23" s="328">
        <f t="shared" ref="F23:G24" si="7">F31+F43+F55</f>
        <v>746480</v>
      </c>
      <c r="G23" s="328">
        <f t="shared" si="7"/>
        <v>0</v>
      </c>
      <c r="H23" s="328">
        <f t="shared" ref="H23:H24" si="8">F23+G23</f>
        <v>746480</v>
      </c>
      <c r="I23" s="69"/>
      <c r="J23" s="69"/>
      <c r="K23" s="69"/>
      <c r="L23" s="69"/>
    </row>
    <row r="24" spans="1:12" ht="12.75" customHeight="1" x14ac:dyDescent="0.2">
      <c r="A24" s="1538"/>
      <c r="B24" s="1539"/>
      <c r="C24" s="676"/>
      <c r="D24" s="676"/>
      <c r="E24" s="321" t="s">
        <v>256</v>
      </c>
      <c r="F24" s="328">
        <f t="shared" si="7"/>
        <v>746480</v>
      </c>
      <c r="G24" s="328">
        <f t="shared" si="7"/>
        <v>0</v>
      </c>
      <c r="H24" s="328">
        <f t="shared" si="8"/>
        <v>746480</v>
      </c>
      <c r="I24" s="69"/>
      <c r="J24" s="69"/>
      <c r="K24" s="69"/>
      <c r="L24" s="69"/>
    </row>
    <row r="25" spans="1:12" ht="12.75" customHeight="1" x14ac:dyDescent="0.2">
      <c r="A25" s="1538"/>
      <c r="B25" s="1539"/>
      <c r="C25" s="676"/>
      <c r="D25" s="676"/>
      <c r="E25" s="338" t="s">
        <v>66</v>
      </c>
      <c r="F25" s="328"/>
      <c r="G25" s="328"/>
      <c r="H25" s="328"/>
      <c r="I25" s="69"/>
      <c r="J25" s="69"/>
      <c r="K25" s="69"/>
      <c r="L25" s="69"/>
    </row>
    <row r="26" spans="1:12" ht="12.75" customHeight="1" x14ac:dyDescent="0.2">
      <c r="A26" s="1538"/>
      <c r="B26" s="1539"/>
      <c r="C26" s="676"/>
      <c r="D26" s="676"/>
      <c r="E26" s="321" t="s">
        <v>254</v>
      </c>
      <c r="F26" s="328">
        <f>F37+F45+F57</f>
        <v>0</v>
      </c>
      <c r="G26" s="328">
        <f>G37+G45+G57</f>
        <v>0</v>
      </c>
      <c r="H26" s="328">
        <f>F26+G26</f>
        <v>0</v>
      </c>
      <c r="I26" s="69"/>
      <c r="J26" s="69"/>
      <c r="K26" s="69"/>
      <c r="L26" s="69"/>
    </row>
    <row r="27" spans="1:12" ht="12.75" customHeight="1" x14ac:dyDescent="0.2">
      <c r="A27" s="1538"/>
      <c r="B27" s="1539"/>
      <c r="C27" s="676"/>
      <c r="D27" s="676"/>
      <c r="E27" s="321" t="s">
        <v>255</v>
      </c>
      <c r="F27" s="328">
        <f>F41+F49+F61</f>
        <v>0</v>
      </c>
      <c r="G27" s="328">
        <f>G41+G49+G61</f>
        <v>0</v>
      </c>
      <c r="H27" s="328">
        <f t="shared" ref="H27:H28" si="9">F27+G27</f>
        <v>0</v>
      </c>
      <c r="I27" s="69"/>
      <c r="J27" s="69"/>
      <c r="K27" s="69"/>
      <c r="L27" s="69"/>
    </row>
    <row r="28" spans="1:12" ht="12.75" customHeight="1" x14ac:dyDescent="0.2">
      <c r="A28" s="1540"/>
      <c r="B28" s="1541"/>
      <c r="C28" s="676"/>
      <c r="D28" s="676"/>
      <c r="E28" s="321" t="s">
        <v>256</v>
      </c>
      <c r="F28" s="328">
        <f>F45+F53+F65</f>
        <v>0</v>
      </c>
      <c r="G28" s="328">
        <f>G45+G53+G65</f>
        <v>0</v>
      </c>
      <c r="H28" s="328">
        <f t="shared" si="9"/>
        <v>0</v>
      </c>
      <c r="I28" s="69"/>
      <c r="J28" s="69"/>
      <c r="K28" s="69"/>
      <c r="L28" s="69"/>
    </row>
    <row r="29" spans="1:12" ht="12.75" customHeight="1" x14ac:dyDescent="0.2">
      <c r="A29" s="1177"/>
      <c r="B29" s="1174"/>
      <c r="C29" s="673"/>
      <c r="D29" s="673"/>
      <c r="E29" s="340" t="s">
        <v>207</v>
      </c>
      <c r="F29" s="329"/>
      <c r="G29" s="329"/>
      <c r="H29" s="329"/>
      <c r="I29" s="69"/>
      <c r="J29" s="69"/>
      <c r="K29" s="69"/>
      <c r="L29" s="69"/>
    </row>
    <row r="30" spans="1:12" ht="12.75" customHeight="1" x14ac:dyDescent="0.2">
      <c r="A30" s="1177"/>
      <c r="B30" s="1174"/>
      <c r="C30" s="673"/>
      <c r="D30" s="673"/>
      <c r="E30" s="322" t="s">
        <v>254</v>
      </c>
      <c r="F30" s="329">
        <f>F34+F38</f>
        <v>0</v>
      </c>
      <c r="G30" s="329">
        <f>G34+G38</f>
        <v>0</v>
      </c>
      <c r="H30" s="329">
        <f>F30+G30</f>
        <v>0</v>
      </c>
      <c r="I30" s="69"/>
      <c r="J30" s="69"/>
      <c r="K30" s="69"/>
      <c r="L30" s="69"/>
    </row>
    <row r="31" spans="1:12" ht="12.75" customHeight="1" x14ac:dyDescent="0.2">
      <c r="A31" s="1177"/>
      <c r="B31" s="1174"/>
      <c r="C31" s="673"/>
      <c r="D31" s="673"/>
      <c r="E31" s="322" t="s">
        <v>255</v>
      </c>
      <c r="F31" s="329">
        <f t="shared" ref="F31:G32" si="10">F35+F39</f>
        <v>746480</v>
      </c>
      <c r="G31" s="329">
        <f t="shared" si="10"/>
        <v>0</v>
      </c>
      <c r="H31" s="329">
        <f t="shared" ref="H31:H32" si="11">F31+G31</f>
        <v>746480</v>
      </c>
      <c r="I31" s="69"/>
      <c r="J31" s="69"/>
      <c r="K31" s="69"/>
      <c r="L31" s="69"/>
    </row>
    <row r="32" spans="1:12" ht="12.75" customHeight="1" x14ac:dyDescent="0.2">
      <c r="A32" s="1177"/>
      <c r="B32" s="1174"/>
      <c r="C32" s="673"/>
      <c r="D32" s="673"/>
      <c r="E32" s="322" t="s">
        <v>256</v>
      </c>
      <c r="F32" s="329">
        <f t="shared" si="10"/>
        <v>746480</v>
      </c>
      <c r="G32" s="329">
        <f t="shared" si="10"/>
        <v>0</v>
      </c>
      <c r="H32" s="329">
        <f t="shared" si="11"/>
        <v>746480</v>
      </c>
      <c r="I32" s="69"/>
      <c r="J32" s="69"/>
      <c r="K32" s="69"/>
      <c r="L32" s="69"/>
    </row>
    <row r="33" spans="1:12" ht="12.75" customHeight="1" x14ac:dyDescent="0.2">
      <c r="A33" s="1177"/>
      <c r="B33" s="1174"/>
      <c r="C33" s="673"/>
      <c r="D33" s="673"/>
      <c r="E33" s="671" t="s">
        <v>65</v>
      </c>
      <c r="F33" s="329"/>
      <c r="G33" s="329"/>
      <c r="H33" s="329"/>
      <c r="I33" s="69"/>
      <c r="J33" s="69"/>
      <c r="K33" s="69"/>
      <c r="L33" s="69"/>
    </row>
    <row r="34" spans="1:12" ht="12.75" customHeight="1" x14ac:dyDescent="0.2">
      <c r="A34" s="1177"/>
      <c r="B34" s="1174"/>
      <c r="C34" s="673"/>
      <c r="D34" s="673"/>
      <c r="E34" s="322" t="s">
        <v>254</v>
      </c>
      <c r="F34" s="329">
        <v>0</v>
      </c>
      <c r="G34" s="329">
        <v>0</v>
      </c>
      <c r="H34" s="329">
        <f>F34+G34</f>
        <v>0</v>
      </c>
      <c r="I34" s="69"/>
      <c r="J34" s="69"/>
      <c r="K34" s="69"/>
      <c r="L34" s="69"/>
    </row>
    <row r="35" spans="1:12" ht="12.75" customHeight="1" x14ac:dyDescent="0.2">
      <c r="A35" s="1177"/>
      <c r="B35" s="1174"/>
      <c r="C35" s="673"/>
      <c r="D35" s="673"/>
      <c r="E35" s="322" t="s">
        <v>255</v>
      </c>
      <c r="F35" s="329">
        <v>746480</v>
      </c>
      <c r="G35" s="329">
        <v>0</v>
      </c>
      <c r="H35" s="329">
        <f t="shared" ref="H35:H36" si="12">F35+G35</f>
        <v>746480</v>
      </c>
      <c r="I35" s="69"/>
      <c r="J35" s="69"/>
      <c r="K35" s="69"/>
      <c r="L35" s="69"/>
    </row>
    <row r="36" spans="1:12" ht="12.75" customHeight="1" x14ac:dyDescent="0.2">
      <c r="A36" s="1177"/>
      <c r="B36" s="1174"/>
      <c r="C36" s="673"/>
      <c r="D36" s="673"/>
      <c r="E36" s="322" t="s">
        <v>256</v>
      </c>
      <c r="F36" s="329">
        <v>746480</v>
      </c>
      <c r="G36" s="329">
        <v>0</v>
      </c>
      <c r="H36" s="329">
        <f t="shared" si="12"/>
        <v>746480</v>
      </c>
      <c r="I36" s="69"/>
      <c r="J36" s="69"/>
      <c r="K36" s="69"/>
      <c r="L36" s="69"/>
    </row>
    <row r="37" spans="1:12" ht="12.75" customHeight="1" x14ac:dyDescent="0.2">
      <c r="A37" s="1177"/>
      <c r="B37" s="1174"/>
      <c r="C37" s="673"/>
      <c r="D37" s="673"/>
      <c r="E37" s="156" t="s">
        <v>66</v>
      </c>
      <c r="F37" s="329"/>
      <c r="G37" s="329"/>
      <c r="H37" s="329"/>
      <c r="I37" s="69"/>
      <c r="J37" s="69"/>
      <c r="K37" s="69"/>
      <c r="L37" s="69"/>
    </row>
    <row r="38" spans="1:12" ht="12.75" customHeight="1" x14ac:dyDescent="0.2">
      <c r="A38" s="1177"/>
      <c r="B38" s="1174"/>
      <c r="C38" s="673"/>
      <c r="D38" s="673"/>
      <c r="E38" s="322" t="s">
        <v>254</v>
      </c>
      <c r="F38" s="329">
        <v>0</v>
      </c>
      <c r="G38" s="329">
        <v>0</v>
      </c>
      <c r="H38" s="329">
        <f>F38+G38</f>
        <v>0</v>
      </c>
      <c r="I38" s="69"/>
      <c r="J38" s="69"/>
      <c r="K38" s="69"/>
      <c r="L38" s="69"/>
    </row>
    <row r="39" spans="1:12" ht="12.75" customHeight="1" x14ac:dyDescent="0.2">
      <c r="A39" s="1177"/>
      <c r="B39" s="1174"/>
      <c r="C39" s="673"/>
      <c r="D39" s="673"/>
      <c r="E39" s="322" t="s">
        <v>255</v>
      </c>
      <c r="F39" s="329">
        <v>0</v>
      </c>
      <c r="G39" s="329">
        <v>0</v>
      </c>
      <c r="H39" s="329">
        <f t="shared" ref="H39:H40" si="13">F39+G39</f>
        <v>0</v>
      </c>
      <c r="I39" s="69"/>
      <c r="J39" s="69"/>
      <c r="K39" s="69"/>
      <c r="L39" s="69"/>
    </row>
    <row r="40" spans="1:12" ht="12.75" customHeight="1" x14ac:dyDescent="0.2">
      <c r="A40" s="1177"/>
      <c r="B40" s="1174"/>
      <c r="C40" s="673"/>
      <c r="D40" s="673"/>
      <c r="E40" s="322" t="s">
        <v>256</v>
      </c>
      <c r="F40" s="329">
        <v>0</v>
      </c>
      <c r="G40" s="329">
        <v>0</v>
      </c>
      <c r="H40" s="329">
        <f t="shared" si="13"/>
        <v>0</v>
      </c>
      <c r="I40" s="69"/>
      <c r="J40" s="69"/>
      <c r="K40" s="69"/>
      <c r="L40" s="69"/>
    </row>
    <row r="41" spans="1:12" ht="12.75" customHeight="1" x14ac:dyDescent="0.2">
      <c r="A41" s="1177"/>
      <c r="B41" s="1174"/>
      <c r="C41" s="673"/>
      <c r="D41" s="673"/>
      <c r="E41" s="340" t="s">
        <v>188</v>
      </c>
      <c r="F41" s="329"/>
      <c r="G41" s="329"/>
      <c r="H41" s="329"/>
      <c r="I41" s="69"/>
      <c r="J41" s="69"/>
      <c r="K41" s="69"/>
      <c r="L41" s="69"/>
    </row>
    <row r="42" spans="1:12" ht="12.75" customHeight="1" x14ac:dyDescent="0.2">
      <c r="A42" s="1177"/>
      <c r="B42" s="1174"/>
      <c r="C42" s="673"/>
      <c r="D42" s="673"/>
      <c r="E42" s="322" t="s">
        <v>254</v>
      </c>
      <c r="F42" s="329">
        <f>F46+F50</f>
        <v>0</v>
      </c>
      <c r="G42" s="329">
        <f>G46+G50</f>
        <v>0</v>
      </c>
      <c r="H42" s="329">
        <f>F42+G42</f>
        <v>0</v>
      </c>
      <c r="I42" s="69"/>
      <c r="J42" s="69"/>
      <c r="K42" s="69"/>
      <c r="L42" s="69"/>
    </row>
    <row r="43" spans="1:12" ht="12.75" customHeight="1" x14ac:dyDescent="0.2">
      <c r="A43" s="1177"/>
      <c r="B43" s="1174"/>
      <c r="C43" s="673"/>
      <c r="D43" s="673"/>
      <c r="E43" s="322" t="s">
        <v>255</v>
      </c>
      <c r="F43" s="329">
        <f t="shared" ref="F43:G44" si="14">F47+F51</f>
        <v>0</v>
      </c>
      <c r="G43" s="329">
        <f t="shared" si="14"/>
        <v>0</v>
      </c>
      <c r="H43" s="329">
        <f t="shared" ref="H43:H44" si="15">F43+G43</f>
        <v>0</v>
      </c>
      <c r="I43" s="69"/>
      <c r="J43" s="69"/>
      <c r="K43" s="69"/>
      <c r="L43" s="69"/>
    </row>
    <row r="44" spans="1:12" ht="12.75" customHeight="1" x14ac:dyDescent="0.2">
      <c r="A44" s="1177"/>
      <c r="B44" s="1174"/>
      <c r="C44" s="673"/>
      <c r="D44" s="673"/>
      <c r="E44" s="322" t="s">
        <v>256</v>
      </c>
      <c r="F44" s="329">
        <f t="shared" si="14"/>
        <v>0</v>
      </c>
      <c r="G44" s="329">
        <f t="shared" si="14"/>
        <v>0</v>
      </c>
      <c r="H44" s="329">
        <f t="shared" si="15"/>
        <v>0</v>
      </c>
      <c r="I44" s="69"/>
      <c r="J44" s="69"/>
      <c r="K44" s="69"/>
      <c r="L44" s="69"/>
    </row>
    <row r="45" spans="1:12" ht="12.75" customHeight="1" x14ac:dyDescent="0.2">
      <c r="A45" s="1177"/>
      <c r="B45" s="1174"/>
      <c r="C45" s="673"/>
      <c r="D45" s="673"/>
      <c r="E45" s="671" t="s">
        <v>65</v>
      </c>
      <c r="F45" s="329"/>
      <c r="G45" s="329"/>
      <c r="H45" s="329"/>
      <c r="I45" s="69"/>
      <c r="J45" s="69"/>
      <c r="K45" s="69"/>
      <c r="L45" s="69"/>
    </row>
    <row r="46" spans="1:12" ht="12.75" customHeight="1" x14ac:dyDescent="0.2">
      <c r="A46" s="1177"/>
      <c r="B46" s="1174"/>
      <c r="C46" s="673"/>
      <c r="D46" s="673"/>
      <c r="E46" s="322" t="s">
        <v>254</v>
      </c>
      <c r="F46" s="329"/>
      <c r="G46" s="329"/>
      <c r="H46" s="329"/>
      <c r="I46" s="69"/>
      <c r="J46" s="69"/>
      <c r="K46" s="69"/>
      <c r="L46" s="69"/>
    </row>
    <row r="47" spans="1:12" ht="12.75" customHeight="1" x14ac:dyDescent="0.2">
      <c r="A47" s="1177"/>
      <c r="B47" s="1174"/>
      <c r="C47" s="673"/>
      <c r="D47" s="673"/>
      <c r="E47" s="322" t="s">
        <v>255</v>
      </c>
      <c r="F47" s="329"/>
      <c r="G47" s="329"/>
      <c r="H47" s="329"/>
      <c r="I47" s="69"/>
      <c r="J47" s="69"/>
      <c r="K47" s="69"/>
      <c r="L47" s="69"/>
    </row>
    <row r="48" spans="1:12" ht="12.75" customHeight="1" x14ac:dyDescent="0.2">
      <c r="A48" s="1177"/>
      <c r="B48" s="1174"/>
      <c r="C48" s="673"/>
      <c r="D48" s="673"/>
      <c r="E48" s="322" t="s">
        <v>256</v>
      </c>
      <c r="F48" s="329"/>
      <c r="G48" s="329"/>
      <c r="H48" s="329"/>
      <c r="I48" s="69"/>
      <c r="J48" s="69"/>
      <c r="K48" s="69"/>
      <c r="L48" s="69"/>
    </row>
    <row r="49" spans="1:12" ht="12.75" customHeight="1" x14ac:dyDescent="0.2">
      <c r="A49" s="1177"/>
      <c r="B49" s="1174"/>
      <c r="C49" s="673"/>
      <c r="D49" s="673"/>
      <c r="E49" s="156" t="s">
        <v>66</v>
      </c>
      <c r="F49" s="329"/>
      <c r="G49" s="329"/>
      <c r="H49" s="329"/>
      <c r="I49" s="69"/>
      <c r="J49" s="69"/>
      <c r="K49" s="69"/>
      <c r="L49" s="69"/>
    </row>
    <row r="50" spans="1:12" ht="12.75" customHeight="1" x14ac:dyDescent="0.2">
      <c r="A50" s="1177"/>
      <c r="B50" s="1174"/>
      <c r="C50" s="673"/>
      <c r="D50" s="673"/>
      <c r="E50" s="322" t="s">
        <v>254</v>
      </c>
      <c r="F50" s="329"/>
      <c r="G50" s="329"/>
      <c r="H50" s="329"/>
      <c r="I50" s="69"/>
      <c r="J50" s="69"/>
      <c r="K50" s="69"/>
      <c r="L50" s="69"/>
    </row>
    <row r="51" spans="1:12" ht="12.75" customHeight="1" x14ac:dyDescent="0.2">
      <c r="A51" s="1177"/>
      <c r="B51" s="1174"/>
      <c r="C51" s="673"/>
      <c r="D51" s="673"/>
      <c r="E51" s="322" t="s">
        <v>255</v>
      </c>
      <c r="F51" s="329"/>
      <c r="G51" s="329"/>
      <c r="H51" s="329"/>
      <c r="I51" s="69"/>
      <c r="J51" s="69"/>
      <c r="K51" s="69"/>
      <c r="L51" s="69"/>
    </row>
    <row r="52" spans="1:12" ht="12.75" customHeight="1" x14ac:dyDescent="0.2">
      <c r="A52" s="1177"/>
      <c r="B52" s="1174"/>
      <c r="C52" s="673"/>
      <c r="D52" s="673"/>
      <c r="E52" s="322" t="s">
        <v>256</v>
      </c>
      <c r="F52" s="329"/>
      <c r="G52" s="329"/>
      <c r="H52" s="329"/>
      <c r="I52" s="69"/>
      <c r="J52" s="69"/>
      <c r="K52" s="69"/>
      <c r="L52" s="69"/>
    </row>
    <row r="53" spans="1:12" ht="12.75" customHeight="1" x14ac:dyDescent="0.2">
      <c r="A53" s="552"/>
      <c r="B53" s="552"/>
      <c r="C53" s="1174"/>
      <c r="D53" s="674"/>
      <c r="E53" s="340" t="s">
        <v>189</v>
      </c>
      <c r="F53" s="329"/>
      <c r="G53" s="329"/>
      <c r="H53" s="329"/>
      <c r="I53" s="69"/>
      <c r="J53" s="69"/>
      <c r="K53" s="69"/>
      <c r="L53" s="69"/>
    </row>
    <row r="54" spans="1:12" ht="12.75" customHeight="1" x14ac:dyDescent="0.2">
      <c r="A54" s="552"/>
      <c r="B54" s="552"/>
      <c r="C54" s="1174"/>
      <c r="D54" s="674"/>
      <c r="E54" s="322" t="s">
        <v>254</v>
      </c>
      <c r="F54" s="329">
        <f>F58+F62</f>
        <v>0</v>
      </c>
      <c r="G54" s="329">
        <f>G58+G62</f>
        <v>0</v>
      </c>
      <c r="H54" s="329">
        <f>F54+G54</f>
        <v>0</v>
      </c>
      <c r="I54" s="69"/>
      <c r="J54" s="69"/>
      <c r="K54" s="69"/>
      <c r="L54" s="69"/>
    </row>
    <row r="55" spans="1:12" ht="12.75" customHeight="1" x14ac:dyDescent="0.2">
      <c r="A55" s="552"/>
      <c r="B55" s="552"/>
      <c r="C55" s="1174"/>
      <c r="D55" s="674"/>
      <c r="E55" s="322" t="s">
        <v>255</v>
      </c>
      <c r="F55" s="329">
        <f t="shared" ref="F55:G56" si="16">F59+F63</f>
        <v>0</v>
      </c>
      <c r="G55" s="329">
        <f t="shared" si="16"/>
        <v>0</v>
      </c>
      <c r="H55" s="329">
        <f t="shared" ref="H55:H56" si="17">F55+G55</f>
        <v>0</v>
      </c>
      <c r="I55" s="69"/>
      <c r="J55" s="69"/>
      <c r="K55" s="69"/>
      <c r="L55" s="69"/>
    </row>
    <row r="56" spans="1:12" ht="12.75" customHeight="1" x14ac:dyDescent="0.2">
      <c r="A56" s="552"/>
      <c r="B56" s="552"/>
      <c r="C56" s="1174"/>
      <c r="D56" s="674"/>
      <c r="E56" s="322" t="s">
        <v>256</v>
      </c>
      <c r="F56" s="329">
        <f t="shared" si="16"/>
        <v>0</v>
      </c>
      <c r="G56" s="329">
        <f t="shared" si="16"/>
        <v>0</v>
      </c>
      <c r="H56" s="329">
        <f t="shared" si="17"/>
        <v>0</v>
      </c>
      <c r="I56" s="69"/>
      <c r="J56" s="69"/>
      <c r="K56" s="69"/>
      <c r="L56" s="69"/>
    </row>
    <row r="57" spans="1:12" ht="12.75" customHeight="1" x14ac:dyDescent="0.2">
      <c r="A57" s="552"/>
      <c r="B57" s="552"/>
      <c r="C57" s="1174"/>
      <c r="D57" s="674"/>
      <c r="E57" s="671" t="s">
        <v>65</v>
      </c>
      <c r="F57" s="329"/>
      <c r="G57" s="329"/>
      <c r="H57" s="329"/>
      <c r="I57" s="69"/>
      <c r="J57" s="69"/>
      <c r="K57" s="69"/>
      <c r="L57" s="69"/>
    </row>
    <row r="58" spans="1:12" ht="12.75" customHeight="1" x14ac:dyDescent="0.2">
      <c r="A58" s="552"/>
      <c r="B58" s="552"/>
      <c r="C58" s="1174"/>
      <c r="D58" s="674"/>
      <c r="E58" s="322" t="s">
        <v>254</v>
      </c>
      <c r="F58" s="329"/>
      <c r="G58" s="329"/>
      <c r="H58" s="329"/>
      <c r="I58" s="69"/>
      <c r="J58" s="69"/>
      <c r="K58" s="69"/>
      <c r="L58" s="69"/>
    </row>
    <row r="59" spans="1:12" ht="12.75" customHeight="1" x14ac:dyDescent="0.2">
      <c r="A59" s="552"/>
      <c r="B59" s="552"/>
      <c r="C59" s="1174"/>
      <c r="D59" s="674"/>
      <c r="E59" s="322" t="s">
        <v>255</v>
      </c>
      <c r="F59" s="329"/>
      <c r="G59" s="329"/>
      <c r="H59" s="329"/>
      <c r="I59" s="69"/>
      <c r="J59" s="69"/>
      <c r="K59" s="69"/>
      <c r="L59" s="69"/>
    </row>
    <row r="60" spans="1:12" ht="12.75" customHeight="1" x14ac:dyDescent="0.2">
      <c r="A60" s="552"/>
      <c r="B60" s="552"/>
      <c r="C60" s="1174"/>
      <c r="D60" s="674"/>
      <c r="E60" s="322" t="s">
        <v>256</v>
      </c>
      <c r="F60" s="329"/>
      <c r="G60" s="329"/>
      <c r="H60" s="329"/>
      <c r="I60" s="69"/>
      <c r="J60" s="69"/>
      <c r="K60" s="69"/>
      <c r="L60" s="69"/>
    </row>
    <row r="61" spans="1:12" ht="12.75" customHeight="1" x14ac:dyDescent="0.2">
      <c r="A61" s="552"/>
      <c r="B61" s="552"/>
      <c r="C61" s="1174"/>
      <c r="D61" s="674"/>
      <c r="E61" s="156" t="s">
        <v>66</v>
      </c>
      <c r="F61" s="329"/>
      <c r="G61" s="329"/>
      <c r="H61" s="329"/>
      <c r="I61" s="69"/>
      <c r="J61" s="69"/>
      <c r="K61" s="69"/>
      <c r="L61" s="69"/>
    </row>
    <row r="62" spans="1:12" ht="12.75" customHeight="1" x14ac:dyDescent="0.2">
      <c r="A62" s="1304"/>
      <c r="B62" s="552"/>
      <c r="C62" s="1174"/>
      <c r="D62" s="674"/>
      <c r="E62" s="322" t="s">
        <v>254</v>
      </c>
      <c r="F62" s="329"/>
      <c r="G62" s="329"/>
      <c r="H62" s="677"/>
      <c r="I62" s="69"/>
      <c r="J62" s="69"/>
      <c r="K62" s="69"/>
      <c r="L62" s="69"/>
    </row>
    <row r="63" spans="1:12" ht="12.75" customHeight="1" x14ac:dyDescent="0.2">
      <c r="A63" s="1304"/>
      <c r="B63" s="552"/>
      <c r="C63" s="1174"/>
      <c r="D63" s="674"/>
      <c r="E63" s="322" t="s">
        <v>255</v>
      </c>
      <c r="F63" s="329"/>
      <c r="G63" s="329"/>
      <c r="H63" s="677"/>
      <c r="I63" s="69"/>
      <c r="J63" s="69"/>
      <c r="K63" s="69"/>
      <c r="L63" s="69"/>
    </row>
    <row r="64" spans="1:12" ht="12.75" customHeight="1" x14ac:dyDescent="0.2">
      <c r="A64" s="1304"/>
      <c r="B64" s="552"/>
      <c r="C64" s="1174"/>
      <c r="D64" s="674"/>
      <c r="E64" s="322" t="s">
        <v>256</v>
      </c>
      <c r="F64" s="329"/>
      <c r="G64" s="329"/>
      <c r="H64" s="677"/>
      <c r="I64" s="69"/>
      <c r="J64" s="69"/>
      <c r="K64" s="69"/>
      <c r="L64" s="69"/>
    </row>
    <row r="65" spans="1:12" ht="15" customHeight="1" x14ac:dyDescent="0.2">
      <c r="A65" s="1735" t="s">
        <v>105</v>
      </c>
      <c r="B65" s="1735"/>
      <c r="C65" s="1735"/>
      <c r="D65" s="1735"/>
      <c r="E65" s="1643"/>
      <c r="F65" s="117"/>
      <c r="G65" s="117"/>
      <c r="H65" s="119"/>
      <c r="I65" s="69"/>
      <c r="J65" s="69"/>
      <c r="K65" s="69"/>
      <c r="L65" s="69"/>
    </row>
    <row r="66" spans="1:12" ht="15" customHeight="1" x14ac:dyDescent="0.2">
      <c r="A66" s="1644"/>
      <c r="B66" s="1644"/>
      <c r="C66" s="1644"/>
      <c r="D66" s="1645"/>
      <c r="E66" s="312" t="s">
        <v>254</v>
      </c>
      <c r="F66" s="118">
        <f>F70+F74</f>
        <v>11814000</v>
      </c>
      <c r="G66" s="118">
        <f>G70+G74</f>
        <v>0</v>
      </c>
      <c r="H66" s="119">
        <f>SUM(F66:G66)</f>
        <v>11814000</v>
      </c>
      <c r="I66" s="69"/>
      <c r="J66" s="69"/>
      <c r="K66" s="69"/>
      <c r="L66" s="69"/>
    </row>
    <row r="67" spans="1:12" ht="15" customHeight="1" x14ac:dyDescent="0.2">
      <c r="A67" s="1647"/>
      <c r="B67" s="1647"/>
      <c r="C67" s="1647"/>
      <c r="D67" s="1648"/>
      <c r="E67" s="312" t="s">
        <v>255</v>
      </c>
      <c r="F67" s="118">
        <f t="shared" ref="F67:G68" si="18">F71+F75</f>
        <v>14182573</v>
      </c>
      <c r="G67" s="118">
        <f t="shared" si="18"/>
        <v>0</v>
      </c>
      <c r="H67" s="119">
        <f t="shared" ref="H67:H76" si="19">SUM(F67:G67)</f>
        <v>14182573</v>
      </c>
      <c r="I67" s="69"/>
      <c r="J67" s="69"/>
      <c r="K67" s="69"/>
      <c r="L67" s="69"/>
    </row>
    <row r="68" spans="1:12" ht="15" customHeight="1" x14ac:dyDescent="0.2">
      <c r="A68" s="1650"/>
      <c r="B68" s="1650"/>
      <c r="C68" s="1650"/>
      <c r="D68" s="1651"/>
      <c r="E68" s="311" t="s">
        <v>256</v>
      </c>
      <c r="F68" s="117">
        <f t="shared" si="18"/>
        <v>10861351</v>
      </c>
      <c r="G68" s="118">
        <f t="shared" si="18"/>
        <v>0</v>
      </c>
      <c r="H68" s="119">
        <f t="shared" si="19"/>
        <v>10861351</v>
      </c>
      <c r="I68" s="69"/>
      <c r="J68" s="69"/>
      <c r="K68" s="69"/>
      <c r="L68" s="69"/>
    </row>
    <row r="69" spans="1:12" ht="15" customHeight="1" x14ac:dyDescent="0.2">
      <c r="A69" s="1542"/>
      <c r="B69" s="1542"/>
      <c r="C69" s="1542"/>
      <c r="D69" s="1542" t="s">
        <v>54</v>
      </c>
      <c r="E69" s="138" t="s">
        <v>65</v>
      </c>
      <c r="F69" s="117"/>
      <c r="G69" s="117"/>
      <c r="H69" s="119"/>
      <c r="I69" s="69"/>
      <c r="J69" s="69"/>
      <c r="K69" s="69"/>
      <c r="L69" s="69"/>
    </row>
    <row r="70" spans="1:12" ht="15" customHeight="1" x14ac:dyDescent="0.2">
      <c r="A70" s="1542"/>
      <c r="B70" s="1542"/>
      <c r="C70" s="1542"/>
      <c r="D70" s="1542"/>
      <c r="E70" s="312" t="s">
        <v>254</v>
      </c>
      <c r="F70" s="117">
        <f>F82+F130+F178+F226+F274+F322+F370+F418</f>
        <v>9273500</v>
      </c>
      <c r="G70" s="117">
        <f>G82+G130+G178+G226+G274+G322+G370+G418</f>
        <v>0</v>
      </c>
      <c r="H70" s="119">
        <f t="shared" si="19"/>
        <v>9273500</v>
      </c>
      <c r="I70" s="69"/>
      <c r="J70" s="69"/>
      <c r="K70" s="69"/>
      <c r="L70" s="69"/>
    </row>
    <row r="71" spans="1:12" ht="15" customHeight="1" x14ac:dyDescent="0.2">
      <c r="A71" s="1542"/>
      <c r="B71" s="1542"/>
      <c r="C71" s="1542"/>
      <c r="D71" s="1542"/>
      <c r="E71" s="312" t="s">
        <v>255</v>
      </c>
      <c r="F71" s="117">
        <f t="shared" ref="F71:G76" si="20">F83+F131+F179+F227+F275+F323+F371+F419</f>
        <v>10742837</v>
      </c>
      <c r="G71" s="117">
        <f t="shared" si="20"/>
        <v>0</v>
      </c>
      <c r="H71" s="119">
        <f t="shared" si="19"/>
        <v>10742837</v>
      </c>
      <c r="I71" s="69"/>
      <c r="J71" s="69"/>
      <c r="K71" s="69"/>
      <c r="L71" s="69"/>
    </row>
    <row r="72" spans="1:12" ht="15" customHeight="1" x14ac:dyDescent="0.2">
      <c r="A72" s="1542"/>
      <c r="B72" s="1542"/>
      <c r="C72" s="1542"/>
      <c r="D72" s="1542"/>
      <c r="E72" s="312" t="s">
        <v>256</v>
      </c>
      <c r="F72" s="117">
        <f t="shared" si="20"/>
        <v>9352656</v>
      </c>
      <c r="G72" s="117">
        <f t="shared" si="20"/>
        <v>0</v>
      </c>
      <c r="H72" s="119">
        <f t="shared" si="19"/>
        <v>9352656</v>
      </c>
      <c r="I72" s="69"/>
      <c r="J72" s="69"/>
      <c r="K72" s="69"/>
      <c r="L72" s="69"/>
    </row>
    <row r="73" spans="1:12" ht="15" customHeight="1" x14ac:dyDescent="0.2">
      <c r="A73" s="1542"/>
      <c r="B73" s="1542"/>
      <c r="C73" s="1542"/>
      <c r="D73" s="1542" t="s">
        <v>55</v>
      </c>
      <c r="E73" s="315" t="s">
        <v>66</v>
      </c>
      <c r="F73" s="117">
        <f t="shared" si="20"/>
        <v>0</v>
      </c>
      <c r="G73" s="117">
        <f t="shared" si="20"/>
        <v>0</v>
      </c>
      <c r="H73" s="119"/>
      <c r="I73" s="69"/>
      <c r="J73" s="69"/>
      <c r="K73" s="69"/>
      <c r="L73" s="69"/>
    </row>
    <row r="74" spans="1:12" ht="15" customHeight="1" x14ac:dyDescent="0.2">
      <c r="A74" s="1542"/>
      <c r="B74" s="1542"/>
      <c r="C74" s="1542"/>
      <c r="D74" s="1542"/>
      <c r="E74" s="312" t="s">
        <v>254</v>
      </c>
      <c r="F74" s="117">
        <f t="shared" si="20"/>
        <v>2540500</v>
      </c>
      <c r="G74" s="117">
        <f t="shared" si="20"/>
        <v>0</v>
      </c>
      <c r="H74" s="119">
        <f t="shared" si="19"/>
        <v>2540500</v>
      </c>
      <c r="I74" s="69"/>
      <c r="J74" s="69"/>
      <c r="K74" s="69"/>
      <c r="L74" s="69"/>
    </row>
    <row r="75" spans="1:12" ht="15" customHeight="1" x14ac:dyDescent="0.2">
      <c r="A75" s="1542"/>
      <c r="B75" s="1542"/>
      <c r="C75" s="1542"/>
      <c r="D75" s="1542"/>
      <c r="E75" s="312" t="s">
        <v>255</v>
      </c>
      <c r="F75" s="117">
        <f t="shared" si="20"/>
        <v>3439736</v>
      </c>
      <c r="G75" s="117">
        <f t="shared" si="20"/>
        <v>0</v>
      </c>
      <c r="H75" s="119">
        <f t="shared" si="19"/>
        <v>3439736</v>
      </c>
      <c r="I75" s="69"/>
      <c r="J75" s="69"/>
      <c r="K75" s="69"/>
      <c r="L75" s="69"/>
    </row>
    <row r="76" spans="1:12" ht="15" customHeight="1" x14ac:dyDescent="0.2">
      <c r="A76" s="1542"/>
      <c r="B76" s="1542"/>
      <c r="C76" s="1542"/>
      <c r="D76" s="1542"/>
      <c r="E76" s="312" t="s">
        <v>256</v>
      </c>
      <c r="F76" s="117">
        <f t="shared" si="20"/>
        <v>1508695</v>
      </c>
      <c r="G76" s="117">
        <f t="shared" si="20"/>
        <v>0</v>
      </c>
      <c r="H76" s="119">
        <f t="shared" si="19"/>
        <v>1508695</v>
      </c>
      <c r="I76" s="69"/>
      <c r="J76" s="69"/>
      <c r="K76" s="69"/>
      <c r="L76" s="69"/>
    </row>
    <row r="77" spans="1:12" s="26" customFormat="1" ht="15" customHeight="1" x14ac:dyDescent="0.2">
      <c r="A77" s="1616">
        <v>1</v>
      </c>
      <c r="B77" s="1616"/>
      <c r="C77" s="1675" t="s">
        <v>141</v>
      </c>
      <c r="D77" s="1675"/>
      <c r="E77" s="336" t="s">
        <v>157</v>
      </c>
      <c r="F77" s="328"/>
      <c r="G77" s="328"/>
      <c r="H77" s="328"/>
      <c r="I77" s="71"/>
      <c r="J77" s="71"/>
      <c r="K77" s="71"/>
      <c r="L77" s="71"/>
    </row>
    <row r="78" spans="1:12" s="26" customFormat="1" ht="15" customHeight="1" x14ac:dyDescent="0.2">
      <c r="A78" s="1616"/>
      <c r="B78" s="1616"/>
      <c r="C78" s="1675"/>
      <c r="D78" s="1675"/>
      <c r="E78" s="321" t="s">
        <v>254</v>
      </c>
      <c r="F78" s="328">
        <f>F82+F86</f>
        <v>0</v>
      </c>
      <c r="G78" s="328">
        <f>G82+G86</f>
        <v>0</v>
      </c>
      <c r="H78" s="328">
        <f>SUM(F78:G78)</f>
        <v>0</v>
      </c>
      <c r="I78" s="71"/>
      <c r="J78" s="71"/>
      <c r="K78" s="71"/>
      <c r="L78" s="71"/>
    </row>
    <row r="79" spans="1:12" s="26" customFormat="1" ht="15" customHeight="1" x14ac:dyDescent="0.2">
      <c r="A79" s="1616"/>
      <c r="B79" s="1616"/>
      <c r="C79" s="1675"/>
      <c r="D79" s="1675"/>
      <c r="E79" s="321" t="s">
        <v>255</v>
      </c>
      <c r="F79" s="328">
        <f t="shared" ref="F79:G80" si="21">F83+F87</f>
        <v>0</v>
      </c>
      <c r="G79" s="328">
        <f t="shared" si="21"/>
        <v>0</v>
      </c>
      <c r="H79" s="328">
        <f t="shared" ref="H79:H88" si="22">SUM(F79:G79)</f>
        <v>0</v>
      </c>
      <c r="I79" s="71"/>
      <c r="J79" s="71"/>
      <c r="K79" s="71"/>
      <c r="L79" s="71"/>
    </row>
    <row r="80" spans="1:12" s="26" customFormat="1" ht="15" customHeight="1" x14ac:dyDescent="0.2">
      <c r="A80" s="1616"/>
      <c r="B80" s="1616"/>
      <c r="C80" s="1675"/>
      <c r="D80" s="1675"/>
      <c r="E80" s="321" t="s">
        <v>256</v>
      </c>
      <c r="F80" s="328">
        <f t="shared" si="21"/>
        <v>0</v>
      </c>
      <c r="G80" s="328">
        <f t="shared" si="21"/>
        <v>0</v>
      </c>
      <c r="H80" s="328">
        <f t="shared" si="22"/>
        <v>0</v>
      </c>
      <c r="I80" s="71"/>
      <c r="J80" s="71"/>
      <c r="K80" s="71"/>
      <c r="L80" s="71"/>
    </row>
    <row r="81" spans="1:12" s="26" customFormat="1" ht="15" customHeight="1" x14ac:dyDescent="0.2">
      <c r="A81" s="1616"/>
      <c r="B81" s="1616"/>
      <c r="C81" s="1675"/>
      <c r="D81" s="1675"/>
      <c r="E81" s="337" t="s">
        <v>65</v>
      </c>
      <c r="F81" s="328"/>
      <c r="G81" s="328"/>
      <c r="H81" s="328"/>
      <c r="I81" s="71"/>
      <c r="J81" s="71"/>
      <c r="K81" s="71"/>
      <c r="L81" s="71"/>
    </row>
    <row r="82" spans="1:12" s="26" customFormat="1" ht="15" customHeight="1" x14ac:dyDescent="0.2">
      <c r="A82" s="1616"/>
      <c r="B82" s="1616"/>
      <c r="C82" s="1675"/>
      <c r="D82" s="1675"/>
      <c r="E82" s="321" t="s">
        <v>254</v>
      </c>
      <c r="F82" s="328">
        <f t="shared" ref="F82:G84" si="23">F94+F106+F118</f>
        <v>0</v>
      </c>
      <c r="G82" s="328">
        <f t="shared" si="23"/>
        <v>0</v>
      </c>
      <c r="H82" s="328">
        <f t="shared" si="22"/>
        <v>0</v>
      </c>
      <c r="I82" s="71"/>
      <c r="J82" s="71"/>
      <c r="K82" s="71"/>
      <c r="L82" s="71"/>
    </row>
    <row r="83" spans="1:12" s="26" customFormat="1" ht="15" customHeight="1" x14ac:dyDescent="0.2">
      <c r="A83" s="1616"/>
      <c r="B83" s="1616"/>
      <c r="C83" s="1675"/>
      <c r="D83" s="1675"/>
      <c r="E83" s="321" t="s">
        <v>255</v>
      </c>
      <c r="F83" s="328">
        <f t="shared" si="23"/>
        <v>0</v>
      </c>
      <c r="G83" s="328">
        <f t="shared" si="23"/>
        <v>0</v>
      </c>
      <c r="H83" s="328">
        <f t="shared" si="22"/>
        <v>0</v>
      </c>
      <c r="I83" s="71"/>
      <c r="J83" s="71"/>
      <c r="K83" s="71"/>
      <c r="L83" s="71"/>
    </row>
    <row r="84" spans="1:12" s="26" customFormat="1" ht="15" customHeight="1" x14ac:dyDescent="0.2">
      <c r="A84" s="1616"/>
      <c r="B84" s="1616"/>
      <c r="C84" s="1675"/>
      <c r="D84" s="1675"/>
      <c r="E84" s="321" t="s">
        <v>256</v>
      </c>
      <c r="F84" s="328">
        <f t="shared" si="23"/>
        <v>0</v>
      </c>
      <c r="G84" s="328">
        <f t="shared" si="23"/>
        <v>0</v>
      </c>
      <c r="H84" s="328">
        <f t="shared" si="22"/>
        <v>0</v>
      </c>
      <c r="I84" s="71"/>
      <c r="J84" s="71"/>
      <c r="K84" s="71"/>
      <c r="L84" s="71"/>
    </row>
    <row r="85" spans="1:12" s="26" customFormat="1" ht="15" customHeight="1" x14ac:dyDescent="0.2">
      <c r="A85" s="1616"/>
      <c r="B85" s="1616"/>
      <c r="C85" s="1675"/>
      <c r="D85" s="1675"/>
      <c r="E85" s="338" t="s">
        <v>66</v>
      </c>
      <c r="F85" s="328"/>
      <c r="G85" s="328"/>
      <c r="H85" s="328"/>
      <c r="I85" s="71"/>
      <c r="J85" s="71"/>
      <c r="K85" s="71"/>
      <c r="L85" s="71"/>
    </row>
    <row r="86" spans="1:12" s="26" customFormat="1" ht="15" customHeight="1" x14ac:dyDescent="0.2">
      <c r="A86" s="1616"/>
      <c r="B86" s="1616"/>
      <c r="C86" s="1675"/>
      <c r="D86" s="1675"/>
      <c r="E86" s="321" t="s">
        <v>254</v>
      </c>
      <c r="F86" s="328">
        <f>F98+F110+F121</f>
        <v>0</v>
      </c>
      <c r="G86" s="328">
        <f>G98+G110+G121</f>
        <v>0</v>
      </c>
      <c r="H86" s="328">
        <f t="shared" si="22"/>
        <v>0</v>
      </c>
      <c r="I86" s="71"/>
      <c r="J86" s="71"/>
      <c r="K86" s="71"/>
      <c r="L86" s="71"/>
    </row>
    <row r="87" spans="1:12" s="26" customFormat="1" ht="15" customHeight="1" x14ac:dyDescent="0.2">
      <c r="A87" s="1616"/>
      <c r="B87" s="1616"/>
      <c r="C87" s="1675"/>
      <c r="D87" s="1675"/>
      <c r="E87" s="321" t="s">
        <v>255</v>
      </c>
      <c r="F87" s="328">
        <f t="shared" ref="F87:G88" si="24">F99+F111+F122</f>
        <v>0</v>
      </c>
      <c r="G87" s="328">
        <f t="shared" si="24"/>
        <v>0</v>
      </c>
      <c r="H87" s="328">
        <f t="shared" si="22"/>
        <v>0</v>
      </c>
      <c r="I87" s="71"/>
      <c r="J87" s="71"/>
      <c r="K87" s="71"/>
      <c r="L87" s="71"/>
    </row>
    <row r="88" spans="1:12" s="26" customFormat="1" ht="15" customHeight="1" x14ac:dyDescent="0.2">
      <c r="A88" s="1616"/>
      <c r="B88" s="1616"/>
      <c r="C88" s="1675"/>
      <c r="D88" s="1675"/>
      <c r="E88" s="321" t="s">
        <v>256</v>
      </c>
      <c r="F88" s="328">
        <f>F100+F112+F123</f>
        <v>0</v>
      </c>
      <c r="G88" s="328">
        <f t="shared" si="24"/>
        <v>0</v>
      </c>
      <c r="H88" s="328">
        <f t="shared" si="22"/>
        <v>0</v>
      </c>
      <c r="I88" s="71"/>
      <c r="J88" s="71"/>
      <c r="K88" s="71"/>
      <c r="L88" s="71"/>
    </row>
    <row r="89" spans="1:12" s="26" customFormat="1" ht="15" customHeight="1" x14ac:dyDescent="0.2">
      <c r="A89" s="1664"/>
      <c r="B89" s="1682"/>
      <c r="C89" s="1665"/>
      <c r="D89" s="1654"/>
      <c r="E89" s="196" t="s">
        <v>207</v>
      </c>
      <c r="F89" s="329"/>
      <c r="G89" s="329"/>
      <c r="H89" s="329"/>
      <c r="I89" s="71"/>
      <c r="J89" s="71"/>
      <c r="K89" s="71"/>
      <c r="L89" s="71"/>
    </row>
    <row r="90" spans="1:12" s="26" customFormat="1" ht="15" customHeight="1" x14ac:dyDescent="0.2">
      <c r="A90" s="1666"/>
      <c r="B90" s="1683"/>
      <c r="C90" s="1667"/>
      <c r="D90" s="1654"/>
      <c r="E90" s="322" t="s">
        <v>254</v>
      </c>
      <c r="F90" s="329"/>
      <c r="G90" s="329"/>
      <c r="H90" s="329">
        <f>F90+G90</f>
        <v>0</v>
      </c>
      <c r="I90" s="71"/>
      <c r="J90" s="71"/>
      <c r="K90" s="71"/>
      <c r="L90" s="71"/>
    </row>
    <row r="91" spans="1:12" s="26" customFormat="1" ht="15" customHeight="1" x14ac:dyDescent="0.2">
      <c r="A91" s="1666"/>
      <c r="B91" s="1683"/>
      <c r="C91" s="1667"/>
      <c r="D91" s="1654"/>
      <c r="E91" s="322" t="s">
        <v>255</v>
      </c>
      <c r="F91" s="329"/>
      <c r="G91" s="329"/>
      <c r="H91" s="329">
        <f t="shared" ref="H91:H124" si="25">F91+G91</f>
        <v>0</v>
      </c>
      <c r="I91" s="71"/>
      <c r="J91" s="71"/>
      <c r="K91" s="71"/>
      <c r="L91" s="71"/>
    </row>
    <row r="92" spans="1:12" s="26" customFormat="1" ht="15" customHeight="1" x14ac:dyDescent="0.2">
      <c r="A92" s="1666"/>
      <c r="B92" s="1683"/>
      <c r="C92" s="1667"/>
      <c r="D92" s="1654"/>
      <c r="E92" s="322" t="s">
        <v>256</v>
      </c>
      <c r="F92" s="329"/>
      <c r="G92" s="329"/>
      <c r="H92" s="329">
        <f t="shared" si="25"/>
        <v>0</v>
      </c>
      <c r="I92" s="71"/>
      <c r="J92" s="71"/>
      <c r="K92" s="71"/>
      <c r="L92" s="71"/>
    </row>
    <row r="93" spans="1:12" s="26" customFormat="1" ht="15" customHeight="1" x14ac:dyDescent="0.2">
      <c r="A93" s="1666"/>
      <c r="B93" s="1683"/>
      <c r="C93" s="1667"/>
      <c r="D93" s="1654" t="s">
        <v>54</v>
      </c>
      <c r="E93" s="120" t="s">
        <v>65</v>
      </c>
      <c r="F93" s="329"/>
      <c r="G93" s="329"/>
      <c r="H93" s="329">
        <f t="shared" si="25"/>
        <v>0</v>
      </c>
      <c r="I93" s="71"/>
      <c r="J93" s="71"/>
      <c r="K93" s="71"/>
      <c r="L93" s="71"/>
    </row>
    <row r="94" spans="1:12" s="26" customFormat="1" ht="15" customHeight="1" x14ac:dyDescent="0.2">
      <c r="A94" s="1666"/>
      <c r="B94" s="1683"/>
      <c r="C94" s="1667"/>
      <c r="D94" s="1654"/>
      <c r="E94" s="322" t="s">
        <v>254</v>
      </c>
      <c r="F94" s="329"/>
      <c r="G94" s="329"/>
      <c r="H94" s="329">
        <f t="shared" si="25"/>
        <v>0</v>
      </c>
      <c r="I94" s="71"/>
      <c r="J94" s="71"/>
      <c r="K94" s="71"/>
      <c r="L94" s="71"/>
    </row>
    <row r="95" spans="1:12" s="26" customFormat="1" ht="15" customHeight="1" x14ac:dyDescent="0.2">
      <c r="A95" s="1666"/>
      <c r="B95" s="1683"/>
      <c r="C95" s="1667"/>
      <c r="D95" s="1654"/>
      <c r="E95" s="322" t="s">
        <v>255</v>
      </c>
      <c r="F95" s="329"/>
      <c r="G95" s="329"/>
      <c r="H95" s="329">
        <f t="shared" si="25"/>
        <v>0</v>
      </c>
      <c r="I95" s="71"/>
      <c r="J95" s="71"/>
      <c r="K95" s="71"/>
      <c r="L95" s="71"/>
    </row>
    <row r="96" spans="1:12" s="26" customFormat="1" ht="15" customHeight="1" x14ac:dyDescent="0.2">
      <c r="A96" s="1666"/>
      <c r="B96" s="1683"/>
      <c r="C96" s="1667"/>
      <c r="D96" s="1654"/>
      <c r="E96" s="322" t="s">
        <v>256</v>
      </c>
      <c r="F96" s="329"/>
      <c r="G96" s="329"/>
      <c r="H96" s="329">
        <f t="shared" si="25"/>
        <v>0</v>
      </c>
      <c r="I96" s="71"/>
      <c r="J96" s="71"/>
      <c r="K96" s="71"/>
      <c r="L96" s="71"/>
    </row>
    <row r="97" spans="1:12" s="26" customFormat="1" ht="15" customHeight="1" x14ac:dyDescent="0.2">
      <c r="A97" s="1666"/>
      <c r="B97" s="1683"/>
      <c r="C97" s="1667"/>
      <c r="D97" s="1654" t="s">
        <v>55</v>
      </c>
      <c r="E97" s="121" t="s">
        <v>66</v>
      </c>
      <c r="F97" s="329"/>
      <c r="G97" s="329"/>
      <c r="H97" s="329">
        <f t="shared" si="25"/>
        <v>0</v>
      </c>
      <c r="I97" s="71"/>
      <c r="J97" s="71"/>
      <c r="K97" s="71"/>
      <c r="L97" s="71"/>
    </row>
    <row r="98" spans="1:12" s="26" customFormat="1" ht="15" customHeight="1" x14ac:dyDescent="0.2">
      <c r="A98" s="1666"/>
      <c r="B98" s="1683"/>
      <c r="C98" s="1667"/>
      <c r="D98" s="1654"/>
      <c r="E98" s="322" t="s">
        <v>254</v>
      </c>
      <c r="F98" s="329"/>
      <c r="G98" s="329"/>
      <c r="H98" s="329">
        <f t="shared" si="25"/>
        <v>0</v>
      </c>
      <c r="I98" s="71"/>
      <c r="J98" s="71"/>
      <c r="K98" s="71"/>
      <c r="L98" s="71"/>
    </row>
    <row r="99" spans="1:12" s="26" customFormat="1" ht="15" customHeight="1" x14ac:dyDescent="0.2">
      <c r="A99" s="1666"/>
      <c r="B99" s="1683"/>
      <c r="C99" s="1667"/>
      <c r="D99" s="1654"/>
      <c r="E99" s="322" t="s">
        <v>255</v>
      </c>
      <c r="F99" s="329"/>
      <c r="G99" s="329"/>
      <c r="H99" s="329">
        <f t="shared" si="25"/>
        <v>0</v>
      </c>
      <c r="I99" s="71"/>
      <c r="J99" s="71"/>
      <c r="K99" s="71"/>
      <c r="L99" s="71"/>
    </row>
    <row r="100" spans="1:12" s="26" customFormat="1" ht="15" customHeight="1" x14ac:dyDescent="0.2">
      <c r="A100" s="1666"/>
      <c r="B100" s="1683"/>
      <c r="C100" s="1667"/>
      <c r="D100" s="1654"/>
      <c r="E100" s="322" t="s">
        <v>256</v>
      </c>
      <c r="F100" s="329"/>
      <c r="G100" s="329"/>
      <c r="H100" s="329">
        <f t="shared" si="25"/>
        <v>0</v>
      </c>
      <c r="I100" s="71"/>
      <c r="J100" s="71"/>
      <c r="K100" s="71"/>
      <c r="L100" s="71"/>
    </row>
    <row r="101" spans="1:12" s="26" customFormat="1" ht="15" customHeight="1" x14ac:dyDescent="0.2">
      <c r="A101" s="1666"/>
      <c r="B101" s="1683"/>
      <c r="C101" s="1667"/>
      <c r="D101" s="1654"/>
      <c r="E101" s="195" t="s">
        <v>188</v>
      </c>
      <c r="F101" s="329"/>
      <c r="G101" s="329"/>
      <c r="H101" s="329"/>
      <c r="I101" s="71"/>
      <c r="J101" s="71"/>
      <c r="K101" s="71"/>
      <c r="L101" s="71"/>
    </row>
    <row r="102" spans="1:12" s="26" customFormat="1" ht="15" customHeight="1" x14ac:dyDescent="0.2">
      <c r="A102" s="1666"/>
      <c r="B102" s="1683"/>
      <c r="C102" s="1667"/>
      <c r="D102" s="1654"/>
      <c r="E102" s="322" t="s">
        <v>254</v>
      </c>
      <c r="F102" s="329"/>
      <c r="G102" s="329"/>
      <c r="H102" s="329">
        <f t="shared" si="25"/>
        <v>0</v>
      </c>
      <c r="I102" s="71"/>
      <c r="J102" s="71"/>
      <c r="K102" s="71"/>
      <c r="L102" s="71"/>
    </row>
    <row r="103" spans="1:12" s="26" customFormat="1" ht="15" customHeight="1" x14ac:dyDescent="0.2">
      <c r="A103" s="1666"/>
      <c r="B103" s="1683"/>
      <c r="C103" s="1667"/>
      <c r="D103" s="1654"/>
      <c r="E103" s="322" t="s">
        <v>255</v>
      </c>
      <c r="F103" s="329"/>
      <c r="G103" s="329"/>
      <c r="H103" s="329">
        <f t="shared" si="25"/>
        <v>0</v>
      </c>
      <c r="I103" s="71"/>
      <c r="J103" s="71"/>
      <c r="K103" s="71"/>
      <c r="L103" s="71"/>
    </row>
    <row r="104" spans="1:12" s="26" customFormat="1" ht="15" customHeight="1" x14ac:dyDescent="0.2">
      <c r="A104" s="1666"/>
      <c r="B104" s="1683"/>
      <c r="C104" s="1667"/>
      <c r="D104" s="1654"/>
      <c r="E104" s="322" t="s">
        <v>256</v>
      </c>
      <c r="F104" s="329"/>
      <c r="G104" s="329"/>
      <c r="H104" s="329">
        <f t="shared" si="25"/>
        <v>0</v>
      </c>
      <c r="I104" s="71"/>
      <c r="J104" s="71"/>
      <c r="K104" s="71"/>
      <c r="L104" s="71"/>
    </row>
    <row r="105" spans="1:12" s="26" customFormat="1" ht="15" customHeight="1" x14ac:dyDescent="0.2">
      <c r="A105" s="1666"/>
      <c r="B105" s="1683"/>
      <c r="C105" s="1667"/>
      <c r="D105" s="1654" t="s">
        <v>54</v>
      </c>
      <c r="E105" s="122" t="s">
        <v>65</v>
      </c>
      <c r="F105" s="329"/>
      <c r="G105" s="329"/>
      <c r="H105" s="329">
        <f t="shared" si="25"/>
        <v>0</v>
      </c>
      <c r="I105" s="71"/>
      <c r="J105" s="71"/>
      <c r="K105" s="71"/>
      <c r="L105" s="71"/>
    </row>
    <row r="106" spans="1:12" s="26" customFormat="1" ht="15" customHeight="1" x14ac:dyDescent="0.2">
      <c r="A106" s="1666"/>
      <c r="B106" s="1683"/>
      <c r="C106" s="1667"/>
      <c r="D106" s="1654"/>
      <c r="E106" s="322" t="s">
        <v>254</v>
      </c>
      <c r="F106" s="329"/>
      <c r="G106" s="329"/>
      <c r="H106" s="329">
        <f t="shared" si="25"/>
        <v>0</v>
      </c>
      <c r="I106" s="71"/>
      <c r="J106" s="71"/>
      <c r="K106" s="71"/>
      <c r="L106" s="71"/>
    </row>
    <row r="107" spans="1:12" s="26" customFormat="1" ht="15" customHeight="1" x14ac:dyDescent="0.2">
      <c r="A107" s="1666"/>
      <c r="B107" s="1683"/>
      <c r="C107" s="1667"/>
      <c r="D107" s="1654"/>
      <c r="E107" s="322" t="s">
        <v>255</v>
      </c>
      <c r="F107" s="329"/>
      <c r="G107" s="329"/>
      <c r="H107" s="329">
        <f t="shared" si="25"/>
        <v>0</v>
      </c>
      <c r="I107" s="71"/>
      <c r="J107" s="71"/>
      <c r="K107" s="71"/>
      <c r="L107" s="71"/>
    </row>
    <row r="108" spans="1:12" s="26" customFormat="1" ht="15" customHeight="1" x14ac:dyDescent="0.2">
      <c r="A108" s="1666"/>
      <c r="B108" s="1683"/>
      <c r="C108" s="1667"/>
      <c r="D108" s="1654"/>
      <c r="E108" s="322" t="s">
        <v>256</v>
      </c>
      <c r="F108" s="329"/>
      <c r="G108" s="329"/>
      <c r="H108" s="329">
        <f t="shared" si="25"/>
        <v>0</v>
      </c>
      <c r="I108" s="71"/>
      <c r="J108" s="71"/>
      <c r="K108" s="71"/>
      <c r="L108" s="71"/>
    </row>
    <row r="109" spans="1:12" s="26" customFormat="1" ht="15" customHeight="1" x14ac:dyDescent="0.2">
      <c r="A109" s="1666"/>
      <c r="B109" s="1683"/>
      <c r="C109" s="1667"/>
      <c r="D109" s="1654" t="s">
        <v>55</v>
      </c>
      <c r="E109" s="121" t="s">
        <v>66</v>
      </c>
      <c r="F109" s="329"/>
      <c r="G109" s="329"/>
      <c r="H109" s="329">
        <f t="shared" si="25"/>
        <v>0</v>
      </c>
      <c r="I109" s="71"/>
      <c r="J109" s="71"/>
      <c r="K109" s="71"/>
      <c r="L109" s="71"/>
    </row>
    <row r="110" spans="1:12" s="26" customFormat="1" ht="15" customHeight="1" x14ac:dyDescent="0.2">
      <c r="A110" s="1666"/>
      <c r="B110" s="1683"/>
      <c r="C110" s="1667"/>
      <c r="D110" s="1654"/>
      <c r="E110" s="322" t="s">
        <v>254</v>
      </c>
      <c r="F110" s="329"/>
      <c r="G110" s="329"/>
      <c r="H110" s="329">
        <f t="shared" si="25"/>
        <v>0</v>
      </c>
      <c r="I110" s="71"/>
      <c r="J110" s="71"/>
      <c r="K110" s="71"/>
      <c r="L110" s="71"/>
    </row>
    <row r="111" spans="1:12" s="26" customFormat="1" ht="15" customHeight="1" x14ac:dyDescent="0.2">
      <c r="A111" s="1666"/>
      <c r="B111" s="1683"/>
      <c r="C111" s="1667"/>
      <c r="D111" s="1654"/>
      <c r="E111" s="322" t="s">
        <v>255</v>
      </c>
      <c r="F111" s="329"/>
      <c r="G111" s="329"/>
      <c r="H111" s="329">
        <f t="shared" si="25"/>
        <v>0</v>
      </c>
      <c r="I111" s="71"/>
      <c r="J111" s="71"/>
      <c r="K111" s="71"/>
      <c r="L111" s="71"/>
    </row>
    <row r="112" spans="1:12" s="26" customFormat="1" ht="15" customHeight="1" x14ac:dyDescent="0.2">
      <c r="A112" s="1666"/>
      <c r="B112" s="1683"/>
      <c r="C112" s="1667"/>
      <c r="D112" s="1654"/>
      <c r="E112" s="322" t="s">
        <v>256</v>
      </c>
      <c r="F112" s="329"/>
      <c r="G112" s="329"/>
      <c r="H112" s="329">
        <f t="shared" si="25"/>
        <v>0</v>
      </c>
      <c r="I112" s="71"/>
      <c r="J112" s="71"/>
      <c r="K112" s="71"/>
      <c r="L112" s="71"/>
    </row>
    <row r="113" spans="1:12" s="26" customFormat="1" ht="15" customHeight="1" x14ac:dyDescent="0.2">
      <c r="A113" s="1666"/>
      <c r="B113" s="1683"/>
      <c r="C113" s="1667"/>
      <c r="D113" s="1654"/>
      <c r="E113" s="195" t="s">
        <v>189</v>
      </c>
      <c r="F113" s="329"/>
      <c r="G113" s="329"/>
      <c r="H113" s="329"/>
      <c r="I113" s="71"/>
      <c r="J113" s="71"/>
      <c r="K113" s="71"/>
      <c r="L113" s="71"/>
    </row>
    <row r="114" spans="1:12" s="26" customFormat="1" ht="15" customHeight="1" x14ac:dyDescent="0.2">
      <c r="A114" s="1666"/>
      <c r="B114" s="1683"/>
      <c r="C114" s="1667"/>
      <c r="D114" s="1654"/>
      <c r="E114" s="322" t="s">
        <v>254</v>
      </c>
      <c r="F114" s="329"/>
      <c r="G114" s="329"/>
      <c r="H114" s="329">
        <f t="shared" si="25"/>
        <v>0</v>
      </c>
      <c r="I114" s="71"/>
      <c r="J114" s="71"/>
      <c r="K114" s="71"/>
      <c r="L114" s="71"/>
    </row>
    <row r="115" spans="1:12" s="26" customFormat="1" ht="15" customHeight="1" x14ac:dyDescent="0.2">
      <c r="A115" s="1666"/>
      <c r="B115" s="1683"/>
      <c r="C115" s="1667"/>
      <c r="D115" s="1654"/>
      <c r="E115" s="322" t="s">
        <v>255</v>
      </c>
      <c r="F115" s="329"/>
      <c r="G115" s="329"/>
      <c r="H115" s="329">
        <f t="shared" si="25"/>
        <v>0</v>
      </c>
      <c r="I115" s="71"/>
      <c r="J115" s="71"/>
      <c r="K115" s="71"/>
      <c r="L115" s="71"/>
    </row>
    <row r="116" spans="1:12" s="26" customFormat="1" ht="15" customHeight="1" x14ac:dyDescent="0.2">
      <c r="A116" s="1666"/>
      <c r="B116" s="1683"/>
      <c r="C116" s="1667"/>
      <c r="D116" s="1654"/>
      <c r="E116" s="322" t="s">
        <v>256</v>
      </c>
      <c r="F116" s="329"/>
      <c r="G116" s="329"/>
      <c r="H116" s="329">
        <f t="shared" si="25"/>
        <v>0</v>
      </c>
      <c r="I116" s="71"/>
      <c r="J116" s="71"/>
      <c r="K116" s="71"/>
      <c r="L116" s="71"/>
    </row>
    <row r="117" spans="1:12" s="26" customFormat="1" ht="15" customHeight="1" x14ac:dyDescent="0.2">
      <c r="A117" s="1666"/>
      <c r="B117" s="1683"/>
      <c r="C117" s="1667"/>
      <c r="D117" s="1654" t="s">
        <v>54</v>
      </c>
      <c r="E117" s="122" t="s">
        <v>65</v>
      </c>
      <c r="F117" s="329"/>
      <c r="G117" s="329"/>
      <c r="H117" s="329">
        <f t="shared" si="25"/>
        <v>0</v>
      </c>
      <c r="I117" s="71"/>
      <c r="J117" s="71"/>
      <c r="K117" s="71"/>
      <c r="L117" s="71"/>
    </row>
    <row r="118" spans="1:12" s="26" customFormat="1" ht="15" customHeight="1" x14ac:dyDescent="0.2">
      <c r="A118" s="1666"/>
      <c r="B118" s="1683"/>
      <c r="C118" s="1667"/>
      <c r="D118" s="1654"/>
      <c r="E118" s="322" t="s">
        <v>254</v>
      </c>
      <c r="F118" s="329"/>
      <c r="G118" s="329"/>
      <c r="H118" s="329">
        <f t="shared" si="25"/>
        <v>0</v>
      </c>
      <c r="I118" s="71"/>
      <c r="J118" s="71"/>
      <c r="K118" s="71"/>
      <c r="L118" s="71"/>
    </row>
    <row r="119" spans="1:12" s="26" customFormat="1" ht="15" customHeight="1" x14ac:dyDescent="0.2">
      <c r="A119" s="1666"/>
      <c r="B119" s="1683"/>
      <c r="C119" s="1667"/>
      <c r="D119" s="1654"/>
      <c r="E119" s="322" t="s">
        <v>255</v>
      </c>
      <c r="F119" s="329"/>
      <c r="G119" s="329"/>
      <c r="H119" s="329">
        <f t="shared" si="25"/>
        <v>0</v>
      </c>
      <c r="I119" s="71"/>
      <c r="J119" s="71"/>
      <c r="K119" s="71"/>
      <c r="L119" s="71"/>
    </row>
    <row r="120" spans="1:12" s="26" customFormat="1" ht="15" customHeight="1" x14ac:dyDescent="0.2">
      <c r="A120" s="1666"/>
      <c r="B120" s="1683"/>
      <c r="C120" s="1667"/>
      <c r="D120" s="1654"/>
      <c r="E120" s="322" t="s">
        <v>256</v>
      </c>
      <c r="F120" s="329"/>
      <c r="G120" s="329"/>
      <c r="H120" s="329">
        <f t="shared" si="25"/>
        <v>0</v>
      </c>
      <c r="I120" s="71"/>
      <c r="J120" s="71"/>
      <c r="K120" s="71"/>
      <c r="L120" s="71"/>
    </row>
    <row r="121" spans="1:12" s="26" customFormat="1" ht="15" customHeight="1" x14ac:dyDescent="0.2">
      <c r="A121" s="1666"/>
      <c r="B121" s="1683"/>
      <c r="C121" s="1667"/>
      <c r="D121" s="1654" t="s">
        <v>55</v>
      </c>
      <c r="E121" s="123" t="s">
        <v>66</v>
      </c>
      <c r="F121" s="329"/>
      <c r="G121" s="329"/>
      <c r="H121" s="329">
        <f t="shared" si="25"/>
        <v>0</v>
      </c>
      <c r="I121" s="71"/>
      <c r="J121" s="71"/>
      <c r="K121" s="71"/>
      <c r="L121" s="71"/>
    </row>
    <row r="122" spans="1:12" s="26" customFormat="1" ht="15" customHeight="1" x14ac:dyDescent="0.2">
      <c r="A122" s="1666"/>
      <c r="B122" s="1683"/>
      <c r="C122" s="1667"/>
      <c r="D122" s="1654"/>
      <c r="E122" s="322" t="s">
        <v>254</v>
      </c>
      <c r="F122" s="329"/>
      <c r="G122" s="329"/>
      <c r="H122" s="329">
        <f t="shared" si="25"/>
        <v>0</v>
      </c>
      <c r="I122" s="71"/>
      <c r="J122" s="71"/>
      <c r="K122" s="71"/>
      <c r="L122" s="71"/>
    </row>
    <row r="123" spans="1:12" s="26" customFormat="1" ht="15" customHeight="1" x14ac:dyDescent="0.2">
      <c r="A123" s="1666"/>
      <c r="B123" s="1683"/>
      <c r="C123" s="1667"/>
      <c r="D123" s="1654"/>
      <c r="E123" s="322" t="s">
        <v>255</v>
      </c>
      <c r="F123" s="329"/>
      <c r="G123" s="329"/>
      <c r="H123" s="329">
        <f t="shared" si="25"/>
        <v>0</v>
      </c>
      <c r="I123" s="71"/>
      <c r="J123" s="71"/>
      <c r="K123" s="71"/>
      <c r="L123" s="71"/>
    </row>
    <row r="124" spans="1:12" s="26" customFormat="1" ht="15" customHeight="1" x14ac:dyDescent="0.2">
      <c r="A124" s="1668"/>
      <c r="B124" s="1684"/>
      <c r="C124" s="1669"/>
      <c r="D124" s="1654"/>
      <c r="E124" s="322" t="s">
        <v>256</v>
      </c>
      <c r="F124" s="329"/>
      <c r="G124" s="329"/>
      <c r="H124" s="329">
        <f t="shared" si="25"/>
        <v>0</v>
      </c>
      <c r="I124" s="71"/>
      <c r="J124" s="71"/>
      <c r="K124" s="71"/>
      <c r="L124" s="71"/>
    </row>
    <row r="125" spans="1:12" s="26" customFormat="1" ht="15" customHeight="1" x14ac:dyDescent="0.2">
      <c r="A125" s="1616">
        <v>2</v>
      </c>
      <c r="B125" s="1616"/>
      <c r="C125" s="1616" t="s">
        <v>109</v>
      </c>
      <c r="D125" s="1616"/>
      <c r="E125" s="339" t="s">
        <v>156</v>
      </c>
      <c r="F125" s="328"/>
      <c r="G125" s="328"/>
      <c r="H125" s="328"/>
      <c r="I125" s="71"/>
      <c r="J125" s="71"/>
      <c r="K125" s="71"/>
      <c r="L125" s="71"/>
    </row>
    <row r="126" spans="1:12" s="26" customFormat="1" ht="15" customHeight="1" x14ac:dyDescent="0.2">
      <c r="A126" s="1616"/>
      <c r="B126" s="1616"/>
      <c r="C126" s="1616"/>
      <c r="D126" s="1616"/>
      <c r="E126" s="321" t="s">
        <v>254</v>
      </c>
      <c r="F126" s="328">
        <f>F130+F134</f>
        <v>2300000</v>
      </c>
      <c r="G126" s="328">
        <f>G130+G134</f>
        <v>0</v>
      </c>
      <c r="H126" s="328">
        <f>F126+G126</f>
        <v>2300000</v>
      </c>
      <c r="I126" s="71"/>
      <c r="J126" s="71"/>
      <c r="K126" s="71"/>
      <c r="L126" s="71"/>
    </row>
    <row r="127" spans="1:12" s="26" customFormat="1" ht="15" customHeight="1" x14ac:dyDescent="0.2">
      <c r="A127" s="1616"/>
      <c r="B127" s="1616"/>
      <c r="C127" s="1616"/>
      <c r="D127" s="1616"/>
      <c r="E127" s="321" t="s">
        <v>255</v>
      </c>
      <c r="F127" s="328">
        <f t="shared" ref="F127:G128" si="26">F131+F135</f>
        <v>3816081</v>
      </c>
      <c r="G127" s="328">
        <f t="shared" si="26"/>
        <v>0</v>
      </c>
      <c r="H127" s="328">
        <f t="shared" ref="H127:H136" si="27">F127+G127</f>
        <v>3816081</v>
      </c>
      <c r="I127" s="71"/>
      <c r="J127" s="71"/>
      <c r="K127" s="71"/>
      <c r="L127" s="71"/>
    </row>
    <row r="128" spans="1:12" s="26" customFormat="1" ht="15" customHeight="1" x14ac:dyDescent="0.2">
      <c r="A128" s="1616"/>
      <c r="B128" s="1616"/>
      <c r="C128" s="1616"/>
      <c r="D128" s="1616"/>
      <c r="E128" s="321" t="s">
        <v>256</v>
      </c>
      <c r="F128" s="328">
        <f t="shared" si="26"/>
        <v>1206098</v>
      </c>
      <c r="G128" s="328">
        <f t="shared" si="26"/>
        <v>0</v>
      </c>
      <c r="H128" s="328">
        <f t="shared" si="27"/>
        <v>1206098</v>
      </c>
      <c r="I128" s="71"/>
      <c r="J128" s="71"/>
      <c r="K128" s="71"/>
      <c r="L128" s="71"/>
    </row>
    <row r="129" spans="1:12" s="26" customFormat="1" ht="15" customHeight="1" x14ac:dyDescent="0.2">
      <c r="A129" s="1616"/>
      <c r="B129" s="1616"/>
      <c r="C129" s="1616"/>
      <c r="D129" s="1616"/>
      <c r="E129" s="337" t="s">
        <v>65</v>
      </c>
      <c r="F129" s="328"/>
      <c r="G129" s="328"/>
      <c r="H129" s="328"/>
      <c r="I129" s="71"/>
      <c r="J129" s="71"/>
      <c r="K129" s="71"/>
      <c r="L129" s="71"/>
    </row>
    <row r="130" spans="1:12" s="26" customFormat="1" ht="15" customHeight="1" x14ac:dyDescent="0.2">
      <c r="A130" s="1616"/>
      <c r="B130" s="1616"/>
      <c r="C130" s="1616"/>
      <c r="D130" s="1616"/>
      <c r="E130" s="321" t="s">
        <v>254</v>
      </c>
      <c r="F130" s="328">
        <f>F142+F154+F166</f>
        <v>300000</v>
      </c>
      <c r="G130" s="328">
        <f>G142+G154+G166</f>
        <v>0</v>
      </c>
      <c r="H130" s="328">
        <f t="shared" si="27"/>
        <v>300000</v>
      </c>
      <c r="I130" s="71"/>
      <c r="J130" s="71"/>
      <c r="K130" s="71"/>
      <c r="L130" s="71"/>
    </row>
    <row r="131" spans="1:12" s="26" customFormat="1" ht="15" customHeight="1" x14ac:dyDescent="0.2">
      <c r="A131" s="1616"/>
      <c r="B131" s="1616"/>
      <c r="C131" s="1616"/>
      <c r="D131" s="1616"/>
      <c r="E131" s="321" t="s">
        <v>255</v>
      </c>
      <c r="F131" s="328">
        <f t="shared" ref="F131:G132" si="28">F143+F155+F167</f>
        <v>856692</v>
      </c>
      <c r="G131" s="328">
        <f t="shared" si="28"/>
        <v>0</v>
      </c>
      <c r="H131" s="328">
        <f t="shared" si="27"/>
        <v>856692</v>
      </c>
      <c r="I131" s="71"/>
      <c r="J131" s="71"/>
      <c r="K131" s="71"/>
      <c r="L131" s="71"/>
    </row>
    <row r="132" spans="1:12" s="26" customFormat="1" ht="15" customHeight="1" x14ac:dyDescent="0.2">
      <c r="A132" s="1616"/>
      <c r="B132" s="1616"/>
      <c r="C132" s="1616"/>
      <c r="D132" s="1616"/>
      <c r="E132" s="321" t="s">
        <v>256</v>
      </c>
      <c r="F132" s="328">
        <f>F144+F156+F168</f>
        <v>57622</v>
      </c>
      <c r="G132" s="328">
        <f t="shared" si="28"/>
        <v>0</v>
      </c>
      <c r="H132" s="328">
        <f t="shared" si="27"/>
        <v>57622</v>
      </c>
      <c r="I132" s="71"/>
      <c r="J132" s="71"/>
      <c r="K132" s="71"/>
      <c r="L132" s="71"/>
    </row>
    <row r="133" spans="1:12" s="26" customFormat="1" ht="15" customHeight="1" x14ac:dyDescent="0.2">
      <c r="A133" s="1616"/>
      <c r="B133" s="1616"/>
      <c r="C133" s="1616"/>
      <c r="D133" s="1616"/>
      <c r="E133" s="338" t="s">
        <v>66</v>
      </c>
      <c r="F133" s="328"/>
      <c r="G133" s="328"/>
      <c r="H133" s="328"/>
      <c r="I133" s="71"/>
      <c r="J133" s="71"/>
      <c r="K133" s="71"/>
      <c r="L133" s="71"/>
    </row>
    <row r="134" spans="1:12" s="26" customFormat="1" ht="15" customHeight="1" x14ac:dyDescent="0.2">
      <c r="A134" s="1616"/>
      <c r="B134" s="1616"/>
      <c r="C134" s="1616"/>
      <c r="D134" s="1616"/>
      <c r="E134" s="321" t="s">
        <v>254</v>
      </c>
      <c r="F134" s="328">
        <f>F146+F158+F170</f>
        <v>2000000</v>
      </c>
      <c r="G134" s="328">
        <f>G146+G158+G170</f>
        <v>0</v>
      </c>
      <c r="H134" s="328">
        <f t="shared" si="27"/>
        <v>2000000</v>
      </c>
      <c r="I134" s="71"/>
      <c r="J134" s="71"/>
      <c r="K134" s="71"/>
      <c r="L134" s="71"/>
    </row>
    <row r="135" spans="1:12" s="26" customFormat="1" ht="15" customHeight="1" x14ac:dyDescent="0.2">
      <c r="A135" s="1616"/>
      <c r="B135" s="1616"/>
      <c r="C135" s="1616"/>
      <c r="D135" s="1616"/>
      <c r="E135" s="321" t="s">
        <v>255</v>
      </c>
      <c r="F135" s="328">
        <f t="shared" ref="F135:G136" si="29">F147+F159+F171</f>
        <v>2959389</v>
      </c>
      <c r="G135" s="328">
        <f t="shared" si="29"/>
        <v>0</v>
      </c>
      <c r="H135" s="328">
        <f t="shared" si="27"/>
        <v>2959389</v>
      </c>
      <c r="I135" s="71"/>
      <c r="J135" s="71"/>
      <c r="K135" s="71"/>
      <c r="L135" s="71"/>
    </row>
    <row r="136" spans="1:12" s="26" customFormat="1" ht="15" customHeight="1" x14ac:dyDescent="0.2">
      <c r="A136" s="1616"/>
      <c r="B136" s="1616"/>
      <c r="C136" s="1616"/>
      <c r="D136" s="1616"/>
      <c r="E136" s="321" t="s">
        <v>256</v>
      </c>
      <c r="F136" s="328">
        <f>F148+F160+F172</f>
        <v>1148476</v>
      </c>
      <c r="G136" s="328">
        <f t="shared" si="29"/>
        <v>0</v>
      </c>
      <c r="H136" s="328">
        <f t="shared" si="27"/>
        <v>1148476</v>
      </c>
      <c r="I136" s="71"/>
      <c r="J136" s="71"/>
      <c r="K136" s="71"/>
      <c r="L136" s="71"/>
    </row>
    <row r="137" spans="1:12" s="26" customFormat="1" ht="15" customHeight="1" x14ac:dyDescent="0.2">
      <c r="A137" s="198"/>
      <c r="B137" s="1173"/>
      <c r="C137" s="1175"/>
      <c r="D137" s="1173"/>
      <c r="E137" s="340" t="s">
        <v>207</v>
      </c>
      <c r="F137" s="329"/>
      <c r="G137" s="329"/>
      <c r="H137" s="329"/>
      <c r="I137" s="71"/>
      <c r="J137" s="71"/>
      <c r="K137" s="71"/>
      <c r="L137" s="71"/>
    </row>
    <row r="138" spans="1:12" s="26" customFormat="1" ht="15" customHeight="1" x14ac:dyDescent="0.2">
      <c r="A138" s="198"/>
      <c r="B138" s="1173"/>
      <c r="C138" s="1175"/>
      <c r="D138" s="1173"/>
      <c r="E138" s="322" t="s">
        <v>254</v>
      </c>
      <c r="F138" s="329">
        <f>F142+F146</f>
        <v>300000</v>
      </c>
      <c r="G138" s="329">
        <f>G142+G146</f>
        <v>0</v>
      </c>
      <c r="H138" s="329">
        <f t="shared" ref="H138:H172" si="30">F138+G138</f>
        <v>300000</v>
      </c>
      <c r="I138" s="71"/>
      <c r="J138" s="71"/>
      <c r="K138" s="71"/>
      <c r="L138" s="71"/>
    </row>
    <row r="139" spans="1:12" s="26" customFormat="1" ht="15" customHeight="1" x14ac:dyDescent="0.2">
      <c r="A139" s="198"/>
      <c r="B139" s="1173"/>
      <c r="C139" s="1175"/>
      <c r="D139" s="1173"/>
      <c r="E139" s="322" t="s">
        <v>255</v>
      </c>
      <c r="F139" s="329">
        <f t="shared" ref="F139:G140" si="31">F143+F147</f>
        <v>856692</v>
      </c>
      <c r="G139" s="329">
        <f t="shared" si="31"/>
        <v>0</v>
      </c>
      <c r="H139" s="329">
        <f t="shared" si="30"/>
        <v>856692</v>
      </c>
      <c r="I139" s="71"/>
      <c r="J139" s="71"/>
      <c r="K139" s="71"/>
      <c r="L139" s="71"/>
    </row>
    <row r="140" spans="1:12" s="26" customFormat="1" ht="15" customHeight="1" x14ac:dyDescent="0.2">
      <c r="A140" s="198"/>
      <c r="B140" s="1173"/>
      <c r="C140" s="1175"/>
      <c r="D140" s="1173"/>
      <c r="E140" s="322" t="s">
        <v>256</v>
      </c>
      <c r="F140" s="329">
        <f t="shared" si="31"/>
        <v>23622</v>
      </c>
      <c r="G140" s="329">
        <f t="shared" si="31"/>
        <v>0</v>
      </c>
      <c r="H140" s="329">
        <f t="shared" si="30"/>
        <v>23622</v>
      </c>
      <c r="I140" s="71"/>
      <c r="J140" s="71"/>
      <c r="K140" s="71"/>
      <c r="L140" s="71"/>
    </row>
    <row r="141" spans="1:12" s="26" customFormat="1" ht="15" customHeight="1" x14ac:dyDescent="0.2">
      <c r="A141" s="198"/>
      <c r="B141" s="1173"/>
      <c r="C141" s="1175"/>
      <c r="D141" s="1173"/>
      <c r="E141" s="671" t="s">
        <v>65</v>
      </c>
      <c r="F141" s="329"/>
      <c r="G141" s="329"/>
      <c r="H141" s="329">
        <f t="shared" si="30"/>
        <v>0</v>
      </c>
      <c r="I141" s="71"/>
      <c r="J141" s="71"/>
      <c r="K141" s="71"/>
      <c r="L141" s="71"/>
    </row>
    <row r="142" spans="1:12" s="26" customFormat="1" ht="15" customHeight="1" x14ac:dyDescent="0.2">
      <c r="A142" s="198"/>
      <c r="B142" s="1173"/>
      <c r="C142" s="1175"/>
      <c r="D142" s="1173"/>
      <c r="E142" s="322" t="s">
        <v>254</v>
      </c>
      <c r="F142" s="329">
        <v>300000</v>
      </c>
      <c r="G142" s="329"/>
      <c r="H142" s="329">
        <f t="shared" si="30"/>
        <v>300000</v>
      </c>
      <c r="I142" s="71"/>
      <c r="J142" s="71"/>
      <c r="K142" s="71"/>
      <c r="L142" s="71"/>
    </row>
    <row r="143" spans="1:12" s="26" customFormat="1" ht="15" customHeight="1" x14ac:dyDescent="0.2">
      <c r="A143" s="198"/>
      <c r="B143" s="1173"/>
      <c r="C143" s="1175"/>
      <c r="D143" s="1173"/>
      <c r="E143" s="322" t="s">
        <v>255</v>
      </c>
      <c r="F143" s="329">
        <v>856692</v>
      </c>
      <c r="G143" s="329"/>
      <c r="H143" s="329">
        <f t="shared" si="30"/>
        <v>856692</v>
      </c>
      <c r="I143" s="71"/>
      <c r="J143" s="71"/>
      <c r="K143" s="71"/>
      <c r="L143" s="71"/>
    </row>
    <row r="144" spans="1:12" s="26" customFormat="1" ht="15" customHeight="1" x14ac:dyDescent="0.2">
      <c r="A144" s="198"/>
      <c r="B144" s="1173"/>
      <c r="C144" s="1175"/>
      <c r="D144" s="1173"/>
      <c r="E144" s="322" t="s">
        <v>256</v>
      </c>
      <c r="F144" s="329">
        <v>23622</v>
      </c>
      <c r="G144" s="329"/>
      <c r="H144" s="329">
        <f t="shared" si="30"/>
        <v>23622</v>
      </c>
      <c r="I144" s="71"/>
      <c r="J144" s="71"/>
      <c r="K144" s="71"/>
      <c r="L144" s="71"/>
    </row>
    <row r="145" spans="1:12" s="26" customFormat="1" ht="15" customHeight="1" x14ac:dyDescent="0.2">
      <c r="A145" s="198"/>
      <c r="B145" s="1173"/>
      <c r="C145" s="1175"/>
      <c r="D145" s="1173"/>
      <c r="E145" s="156" t="s">
        <v>66</v>
      </c>
      <c r="F145" s="329"/>
      <c r="G145" s="329"/>
      <c r="H145" s="329">
        <f t="shared" si="30"/>
        <v>0</v>
      </c>
      <c r="I145" s="71"/>
      <c r="J145" s="71"/>
      <c r="K145" s="71"/>
      <c r="L145" s="71"/>
    </row>
    <row r="146" spans="1:12" s="26" customFormat="1" ht="15" customHeight="1" x14ac:dyDescent="0.2">
      <c r="A146" s="198"/>
      <c r="B146" s="1173"/>
      <c r="C146" s="1175"/>
      <c r="D146" s="1173"/>
      <c r="E146" s="322" t="s">
        <v>254</v>
      </c>
      <c r="F146" s="329"/>
      <c r="G146" s="329"/>
      <c r="H146" s="329">
        <f t="shared" si="30"/>
        <v>0</v>
      </c>
      <c r="I146" s="71"/>
      <c r="J146" s="71"/>
      <c r="K146" s="71"/>
      <c r="L146" s="71"/>
    </row>
    <row r="147" spans="1:12" s="26" customFormat="1" ht="15" customHeight="1" x14ac:dyDescent="0.2">
      <c r="A147" s="198"/>
      <c r="B147" s="1173"/>
      <c r="C147" s="1175"/>
      <c r="D147" s="1173"/>
      <c r="E147" s="322" t="s">
        <v>255</v>
      </c>
      <c r="F147" s="329"/>
      <c r="G147" s="329"/>
      <c r="H147" s="329">
        <f t="shared" si="30"/>
        <v>0</v>
      </c>
      <c r="I147" s="71"/>
      <c r="J147" s="71"/>
      <c r="K147" s="71"/>
      <c r="L147" s="71"/>
    </row>
    <row r="148" spans="1:12" s="26" customFormat="1" ht="15" customHeight="1" x14ac:dyDescent="0.2">
      <c r="A148" s="198"/>
      <c r="B148" s="1173"/>
      <c r="C148" s="1175"/>
      <c r="D148" s="1173"/>
      <c r="E148" s="322" t="s">
        <v>256</v>
      </c>
      <c r="F148" s="329"/>
      <c r="G148" s="329"/>
      <c r="H148" s="329">
        <f t="shared" si="30"/>
        <v>0</v>
      </c>
      <c r="I148" s="71"/>
      <c r="J148" s="71"/>
      <c r="K148" s="71"/>
      <c r="L148" s="71"/>
    </row>
    <row r="149" spans="1:12" s="26" customFormat="1" ht="15" customHeight="1" x14ac:dyDescent="0.2">
      <c r="A149" s="198"/>
      <c r="B149" s="1173"/>
      <c r="C149" s="1175"/>
      <c r="D149" s="1173"/>
      <c r="E149" s="340" t="s">
        <v>188</v>
      </c>
      <c r="F149" s="329"/>
      <c r="G149" s="329"/>
      <c r="H149" s="329">
        <f t="shared" si="30"/>
        <v>0</v>
      </c>
      <c r="I149" s="71"/>
      <c r="J149" s="71"/>
      <c r="K149" s="71"/>
      <c r="L149" s="71"/>
    </row>
    <row r="150" spans="1:12" s="26" customFormat="1" ht="15" customHeight="1" x14ac:dyDescent="0.2">
      <c r="A150" s="198"/>
      <c r="B150" s="1173"/>
      <c r="C150" s="1175"/>
      <c r="D150" s="1173"/>
      <c r="E150" s="322" t="s">
        <v>254</v>
      </c>
      <c r="F150" s="329">
        <f>F154+F158</f>
        <v>2000000</v>
      </c>
      <c r="G150" s="329">
        <f>G154+G158</f>
        <v>0</v>
      </c>
      <c r="H150" s="329">
        <f t="shared" si="30"/>
        <v>2000000</v>
      </c>
      <c r="I150" s="71"/>
      <c r="J150" s="71"/>
      <c r="K150" s="71"/>
      <c r="L150" s="71"/>
    </row>
    <row r="151" spans="1:12" s="26" customFormat="1" ht="15" customHeight="1" x14ac:dyDescent="0.2">
      <c r="A151" s="198"/>
      <c r="B151" s="1173"/>
      <c r="C151" s="1175"/>
      <c r="D151" s="1173"/>
      <c r="E151" s="322" t="s">
        <v>255</v>
      </c>
      <c r="F151" s="329">
        <f t="shared" ref="F151:G152" si="32">F155+F159</f>
        <v>2959389</v>
      </c>
      <c r="G151" s="329">
        <f t="shared" si="32"/>
        <v>0</v>
      </c>
      <c r="H151" s="329">
        <f t="shared" si="30"/>
        <v>2959389</v>
      </c>
      <c r="I151" s="71"/>
      <c r="J151" s="71"/>
      <c r="K151" s="71"/>
      <c r="L151" s="71"/>
    </row>
    <row r="152" spans="1:12" s="26" customFormat="1" ht="15" customHeight="1" x14ac:dyDescent="0.2">
      <c r="A152" s="198"/>
      <c r="B152" s="1173"/>
      <c r="C152" s="1175"/>
      <c r="D152" s="1173"/>
      <c r="E152" s="322" t="s">
        <v>256</v>
      </c>
      <c r="F152" s="329">
        <f t="shared" si="32"/>
        <v>1182476</v>
      </c>
      <c r="G152" s="329">
        <f t="shared" si="32"/>
        <v>0</v>
      </c>
      <c r="H152" s="329">
        <f t="shared" si="30"/>
        <v>1182476</v>
      </c>
      <c r="I152" s="71"/>
      <c r="J152" s="71"/>
      <c r="K152" s="71"/>
      <c r="L152" s="71"/>
    </row>
    <row r="153" spans="1:12" s="26" customFormat="1" ht="15" customHeight="1" x14ac:dyDescent="0.2">
      <c r="A153" s="198"/>
      <c r="B153" s="1173"/>
      <c r="C153" s="1175"/>
      <c r="D153" s="1173"/>
      <c r="E153" s="671" t="s">
        <v>65</v>
      </c>
      <c r="F153" s="329"/>
      <c r="G153" s="329"/>
      <c r="H153" s="329">
        <f t="shared" si="30"/>
        <v>0</v>
      </c>
      <c r="I153" s="71"/>
      <c r="J153" s="71"/>
      <c r="K153" s="71"/>
      <c r="L153" s="71"/>
    </row>
    <row r="154" spans="1:12" s="26" customFormat="1" ht="15" customHeight="1" x14ac:dyDescent="0.2">
      <c r="A154" s="198"/>
      <c r="B154" s="1173"/>
      <c r="C154" s="1175"/>
      <c r="D154" s="1173"/>
      <c r="E154" s="322" t="s">
        <v>254</v>
      </c>
      <c r="F154" s="329">
        <v>0</v>
      </c>
      <c r="G154" s="329"/>
      <c r="H154" s="329">
        <f t="shared" si="30"/>
        <v>0</v>
      </c>
      <c r="I154" s="71"/>
      <c r="J154" s="71"/>
      <c r="K154" s="71"/>
      <c r="L154" s="71"/>
    </row>
    <row r="155" spans="1:12" s="26" customFormat="1" ht="15" customHeight="1" x14ac:dyDescent="0.2">
      <c r="A155" s="198"/>
      <c r="B155" s="1173"/>
      <c r="C155" s="1175"/>
      <c r="D155" s="1173"/>
      <c r="E155" s="322" t="s">
        <v>255</v>
      </c>
      <c r="F155" s="329">
        <v>0</v>
      </c>
      <c r="G155" s="329"/>
      <c r="H155" s="329">
        <f t="shared" si="30"/>
        <v>0</v>
      </c>
      <c r="I155" s="71"/>
      <c r="J155" s="71"/>
      <c r="K155" s="71"/>
      <c r="L155" s="71"/>
    </row>
    <row r="156" spans="1:12" s="26" customFormat="1" ht="15" customHeight="1" x14ac:dyDescent="0.2">
      <c r="A156" s="198"/>
      <c r="B156" s="1173"/>
      <c r="C156" s="1175"/>
      <c r="D156" s="1173"/>
      <c r="E156" s="322" t="s">
        <v>256</v>
      </c>
      <c r="F156" s="329">
        <f>34000</f>
        <v>34000</v>
      </c>
      <c r="G156" s="329"/>
      <c r="H156" s="329">
        <f t="shared" si="30"/>
        <v>34000</v>
      </c>
      <c r="I156" s="71"/>
      <c r="J156" s="71"/>
      <c r="K156" s="71"/>
      <c r="L156" s="71"/>
    </row>
    <row r="157" spans="1:12" s="26" customFormat="1" ht="15" customHeight="1" x14ac:dyDescent="0.2">
      <c r="A157" s="198"/>
      <c r="B157" s="1173"/>
      <c r="C157" s="1175"/>
      <c r="D157" s="1173"/>
      <c r="E157" s="156" t="s">
        <v>66</v>
      </c>
      <c r="F157" s="329"/>
      <c r="G157" s="329"/>
      <c r="H157" s="329">
        <f t="shared" si="30"/>
        <v>0</v>
      </c>
      <c r="I157" s="71"/>
      <c r="J157" s="71"/>
      <c r="K157" s="71"/>
      <c r="L157" s="71"/>
    </row>
    <row r="158" spans="1:12" s="26" customFormat="1" ht="15" customHeight="1" x14ac:dyDescent="0.2">
      <c r="A158" s="198"/>
      <c r="B158" s="1173"/>
      <c r="C158" s="1175"/>
      <c r="D158" s="1173"/>
      <c r="E158" s="322" t="s">
        <v>254</v>
      </c>
      <c r="F158" s="329">
        <v>2000000</v>
      </c>
      <c r="G158" s="329"/>
      <c r="H158" s="329">
        <f t="shared" si="30"/>
        <v>2000000</v>
      </c>
      <c r="I158" s="71"/>
      <c r="J158" s="71"/>
      <c r="K158" s="71"/>
      <c r="L158" s="71"/>
    </row>
    <row r="159" spans="1:12" s="26" customFormat="1" ht="15" customHeight="1" x14ac:dyDescent="0.2">
      <c r="A159" s="198"/>
      <c r="B159" s="1173"/>
      <c r="C159" s="1175"/>
      <c r="D159" s="1173"/>
      <c r="E159" s="322" t="s">
        <v>255</v>
      </c>
      <c r="F159" s="329">
        <f>2959389</f>
        <v>2959389</v>
      </c>
      <c r="G159" s="329"/>
      <c r="H159" s="329">
        <f t="shared" si="30"/>
        <v>2959389</v>
      </c>
      <c r="I159" s="71"/>
      <c r="J159" s="71"/>
      <c r="K159" s="71"/>
      <c r="L159" s="71"/>
    </row>
    <row r="160" spans="1:12" s="26" customFormat="1" ht="15" customHeight="1" x14ac:dyDescent="0.2">
      <c r="A160" s="198"/>
      <c r="B160" s="1173"/>
      <c r="C160" s="1175"/>
      <c r="D160" s="1173"/>
      <c r="E160" s="322" t="s">
        <v>256</v>
      </c>
      <c r="F160" s="329">
        <f>1182476-34000</f>
        <v>1148476</v>
      </c>
      <c r="G160" s="329"/>
      <c r="H160" s="329">
        <f t="shared" si="30"/>
        <v>1148476</v>
      </c>
      <c r="I160" s="71"/>
      <c r="J160" s="71"/>
      <c r="K160" s="71"/>
      <c r="L160" s="71"/>
    </row>
    <row r="161" spans="1:12" s="26" customFormat="1" ht="15" customHeight="1" x14ac:dyDescent="0.2">
      <c r="A161" s="198"/>
      <c r="B161" s="1173"/>
      <c r="C161" s="1175"/>
      <c r="D161" s="1173"/>
      <c r="E161" s="340" t="s">
        <v>189</v>
      </c>
      <c r="F161" s="329"/>
      <c r="G161" s="329"/>
      <c r="H161" s="329"/>
      <c r="I161" s="71"/>
      <c r="J161" s="71"/>
      <c r="K161" s="71"/>
      <c r="L161" s="71"/>
    </row>
    <row r="162" spans="1:12" s="26" customFormat="1" ht="15" customHeight="1" x14ac:dyDescent="0.2">
      <c r="A162" s="198"/>
      <c r="B162" s="1173"/>
      <c r="C162" s="1175"/>
      <c r="D162" s="1173"/>
      <c r="E162" s="322" t="s">
        <v>254</v>
      </c>
      <c r="F162" s="329">
        <f>F166+F170</f>
        <v>0</v>
      </c>
      <c r="G162" s="329">
        <f>G166+G170</f>
        <v>0</v>
      </c>
      <c r="H162" s="329">
        <f t="shared" si="30"/>
        <v>0</v>
      </c>
      <c r="I162" s="71"/>
      <c r="J162" s="71"/>
      <c r="K162" s="71"/>
      <c r="L162" s="71"/>
    </row>
    <row r="163" spans="1:12" s="26" customFormat="1" ht="15" customHeight="1" x14ac:dyDescent="0.2">
      <c r="A163" s="198"/>
      <c r="B163" s="1173"/>
      <c r="C163" s="1175"/>
      <c r="D163" s="1173"/>
      <c r="E163" s="322" t="s">
        <v>255</v>
      </c>
      <c r="F163" s="329">
        <f t="shared" ref="F163:G164" si="33">F167+F171</f>
        <v>0</v>
      </c>
      <c r="G163" s="329">
        <f t="shared" si="33"/>
        <v>0</v>
      </c>
      <c r="H163" s="329">
        <f t="shared" si="30"/>
        <v>0</v>
      </c>
      <c r="I163" s="71"/>
      <c r="J163" s="71"/>
      <c r="K163" s="71"/>
      <c r="L163" s="71"/>
    </row>
    <row r="164" spans="1:12" s="26" customFormat="1" ht="15" customHeight="1" x14ac:dyDescent="0.2">
      <c r="A164" s="198"/>
      <c r="B164" s="1173"/>
      <c r="C164" s="1175"/>
      <c r="D164" s="1173"/>
      <c r="E164" s="322" t="s">
        <v>256</v>
      </c>
      <c r="F164" s="329">
        <f t="shared" si="33"/>
        <v>0</v>
      </c>
      <c r="G164" s="329">
        <f t="shared" si="33"/>
        <v>0</v>
      </c>
      <c r="H164" s="329">
        <f t="shared" si="30"/>
        <v>0</v>
      </c>
      <c r="I164" s="71"/>
      <c r="J164" s="71"/>
      <c r="K164" s="71"/>
      <c r="L164" s="71"/>
    </row>
    <row r="165" spans="1:12" s="26" customFormat="1" ht="15" customHeight="1" x14ac:dyDescent="0.2">
      <c r="A165" s="198"/>
      <c r="B165" s="1173"/>
      <c r="C165" s="1175"/>
      <c r="D165" s="1173"/>
      <c r="E165" s="671" t="s">
        <v>65</v>
      </c>
      <c r="F165" s="329"/>
      <c r="G165" s="329"/>
      <c r="H165" s="329">
        <f t="shared" si="30"/>
        <v>0</v>
      </c>
      <c r="I165" s="71"/>
      <c r="J165" s="71"/>
      <c r="K165" s="71"/>
      <c r="L165" s="71"/>
    </row>
    <row r="166" spans="1:12" s="26" customFormat="1" ht="15" customHeight="1" x14ac:dyDescent="0.2">
      <c r="A166" s="198"/>
      <c r="B166" s="1173"/>
      <c r="C166" s="1175"/>
      <c r="D166" s="1173"/>
      <c r="E166" s="322" t="s">
        <v>254</v>
      </c>
      <c r="F166" s="329"/>
      <c r="G166" s="329"/>
      <c r="H166" s="329">
        <f t="shared" si="30"/>
        <v>0</v>
      </c>
      <c r="I166" s="71"/>
      <c r="J166" s="71"/>
      <c r="K166" s="71"/>
      <c r="L166" s="71"/>
    </row>
    <row r="167" spans="1:12" s="26" customFormat="1" ht="15" customHeight="1" x14ac:dyDescent="0.2">
      <c r="A167" s="198"/>
      <c r="B167" s="1173"/>
      <c r="C167" s="1175"/>
      <c r="D167" s="1173"/>
      <c r="E167" s="322" t="s">
        <v>255</v>
      </c>
      <c r="F167" s="329"/>
      <c r="G167" s="329"/>
      <c r="H167" s="329">
        <f t="shared" si="30"/>
        <v>0</v>
      </c>
      <c r="I167" s="71"/>
      <c r="J167" s="71"/>
      <c r="K167" s="71"/>
      <c r="L167" s="71"/>
    </row>
    <row r="168" spans="1:12" s="26" customFormat="1" ht="15" customHeight="1" x14ac:dyDescent="0.2">
      <c r="A168" s="198"/>
      <c r="B168" s="1173"/>
      <c r="C168" s="1175"/>
      <c r="D168" s="1173"/>
      <c r="E168" s="322" t="s">
        <v>256</v>
      </c>
      <c r="F168" s="329"/>
      <c r="G168" s="329"/>
      <c r="H168" s="329">
        <f t="shared" si="30"/>
        <v>0</v>
      </c>
      <c r="I168" s="71"/>
      <c r="J168" s="71"/>
      <c r="K168" s="71"/>
      <c r="L168" s="71"/>
    </row>
    <row r="169" spans="1:12" s="26" customFormat="1" ht="15" customHeight="1" x14ac:dyDescent="0.2">
      <c r="A169" s="198"/>
      <c r="B169" s="1173"/>
      <c r="C169" s="1175"/>
      <c r="D169" s="1173"/>
      <c r="E169" s="156" t="s">
        <v>66</v>
      </c>
      <c r="F169" s="329"/>
      <c r="G169" s="329"/>
      <c r="H169" s="329">
        <f t="shared" si="30"/>
        <v>0</v>
      </c>
      <c r="I169" s="71"/>
      <c r="J169" s="71"/>
      <c r="K169" s="71"/>
      <c r="L169" s="71"/>
    </row>
    <row r="170" spans="1:12" s="26" customFormat="1" ht="15" customHeight="1" x14ac:dyDescent="0.2">
      <c r="A170" s="198"/>
      <c r="B170" s="1173"/>
      <c r="C170" s="1175"/>
      <c r="D170" s="1173"/>
      <c r="E170" s="322" t="s">
        <v>254</v>
      </c>
      <c r="F170" s="329"/>
      <c r="G170" s="329"/>
      <c r="H170" s="329">
        <f t="shared" si="30"/>
        <v>0</v>
      </c>
      <c r="I170" s="71"/>
      <c r="J170" s="71"/>
      <c r="K170" s="71"/>
      <c r="L170" s="71"/>
    </row>
    <row r="171" spans="1:12" s="26" customFormat="1" ht="15" customHeight="1" x14ac:dyDescent="0.2">
      <c r="A171" s="198"/>
      <c r="B171" s="1173"/>
      <c r="C171" s="1175"/>
      <c r="D171" s="1173"/>
      <c r="E171" s="322" t="s">
        <v>255</v>
      </c>
      <c r="F171" s="329"/>
      <c r="G171" s="329"/>
      <c r="H171" s="329">
        <f t="shared" si="30"/>
        <v>0</v>
      </c>
      <c r="I171" s="71"/>
      <c r="J171" s="71"/>
      <c r="K171" s="71"/>
      <c r="L171" s="71"/>
    </row>
    <row r="172" spans="1:12" s="26" customFormat="1" ht="15" customHeight="1" x14ac:dyDescent="0.2">
      <c r="A172" s="198"/>
      <c r="B172" s="1173"/>
      <c r="C172" s="1175"/>
      <c r="D172" s="1173"/>
      <c r="E172" s="341" t="s">
        <v>256</v>
      </c>
      <c r="F172" s="342"/>
      <c r="G172" s="342"/>
      <c r="H172" s="342">
        <f t="shared" si="30"/>
        <v>0</v>
      </c>
      <c r="I172" s="71"/>
      <c r="J172" s="71"/>
      <c r="K172" s="71"/>
      <c r="L172" s="71"/>
    </row>
    <row r="173" spans="1:12" s="26" customFormat="1" ht="15" customHeight="1" x14ac:dyDescent="0.2">
      <c r="A173" s="1616">
        <v>3</v>
      </c>
      <c r="B173" s="1616"/>
      <c r="C173" s="1616" t="s">
        <v>107</v>
      </c>
      <c r="D173" s="1616"/>
      <c r="E173" s="343" t="s">
        <v>158</v>
      </c>
      <c r="F173" s="328"/>
      <c r="G173" s="328"/>
      <c r="H173" s="328">
        <f>F173+G173</f>
        <v>0</v>
      </c>
      <c r="I173" s="71"/>
      <c r="J173" s="71"/>
      <c r="K173" s="71"/>
      <c r="L173" s="71"/>
    </row>
    <row r="174" spans="1:12" s="26" customFormat="1" ht="15" customHeight="1" x14ac:dyDescent="0.2">
      <c r="A174" s="1616"/>
      <c r="B174" s="1616"/>
      <c r="C174" s="1616"/>
      <c r="D174" s="1616"/>
      <c r="E174" s="321" t="s">
        <v>254</v>
      </c>
      <c r="F174" s="328">
        <f>F178+F182</f>
        <v>0</v>
      </c>
      <c r="G174" s="328">
        <f>G178+G182</f>
        <v>0</v>
      </c>
      <c r="H174" s="328">
        <f t="shared" ref="H174:H220" si="34">F174+G174</f>
        <v>0</v>
      </c>
      <c r="I174" s="71"/>
      <c r="J174" s="71"/>
      <c r="K174" s="71"/>
      <c r="L174" s="71"/>
    </row>
    <row r="175" spans="1:12" s="26" customFormat="1" ht="15" customHeight="1" x14ac:dyDescent="0.2">
      <c r="A175" s="1616"/>
      <c r="B175" s="1616"/>
      <c r="C175" s="1616"/>
      <c r="D175" s="1616"/>
      <c r="E175" s="321" t="s">
        <v>255</v>
      </c>
      <c r="F175" s="328">
        <f t="shared" ref="F175:G176" si="35">F179+F183</f>
        <v>280652</v>
      </c>
      <c r="G175" s="328">
        <f t="shared" si="35"/>
        <v>0</v>
      </c>
      <c r="H175" s="328">
        <f t="shared" si="34"/>
        <v>280652</v>
      </c>
      <c r="I175" s="71"/>
      <c r="J175" s="71"/>
      <c r="K175" s="71"/>
      <c r="L175" s="71"/>
    </row>
    <row r="176" spans="1:12" s="26" customFormat="1" ht="15" customHeight="1" x14ac:dyDescent="0.2">
      <c r="A176" s="1616"/>
      <c r="B176" s="1616"/>
      <c r="C176" s="1616"/>
      <c r="D176" s="1616"/>
      <c r="E176" s="321" t="s">
        <v>256</v>
      </c>
      <c r="F176" s="328">
        <f t="shared" si="35"/>
        <v>280652</v>
      </c>
      <c r="G176" s="328">
        <f t="shared" si="35"/>
        <v>0</v>
      </c>
      <c r="H176" s="328">
        <f t="shared" si="34"/>
        <v>280652</v>
      </c>
      <c r="I176" s="71"/>
      <c r="J176" s="71"/>
      <c r="K176" s="71"/>
      <c r="L176" s="71"/>
    </row>
    <row r="177" spans="1:12" s="26" customFormat="1" ht="15" customHeight="1" x14ac:dyDescent="0.2">
      <c r="A177" s="1616"/>
      <c r="B177" s="1616"/>
      <c r="C177" s="1616"/>
      <c r="D177" s="1616" t="s">
        <v>54</v>
      </c>
      <c r="E177" s="337" t="s">
        <v>65</v>
      </c>
      <c r="F177" s="328"/>
      <c r="G177" s="328"/>
      <c r="H177" s="328">
        <f t="shared" si="34"/>
        <v>0</v>
      </c>
      <c r="I177" s="71"/>
      <c r="J177" s="71"/>
      <c r="K177" s="71"/>
      <c r="L177" s="71"/>
    </row>
    <row r="178" spans="1:12" s="26" customFormat="1" ht="15" customHeight="1" x14ac:dyDescent="0.2">
      <c r="A178" s="1616"/>
      <c r="B178" s="1616"/>
      <c r="C178" s="1616"/>
      <c r="D178" s="1616"/>
      <c r="E178" s="321" t="s">
        <v>254</v>
      </c>
      <c r="F178" s="328">
        <f>F190+F202+F210</f>
        <v>0</v>
      </c>
      <c r="G178" s="328">
        <f>G190+G202+G210</f>
        <v>0</v>
      </c>
      <c r="H178" s="328">
        <f t="shared" si="34"/>
        <v>0</v>
      </c>
      <c r="I178" s="71"/>
      <c r="J178" s="71"/>
      <c r="K178" s="71"/>
      <c r="L178" s="71"/>
    </row>
    <row r="179" spans="1:12" s="26" customFormat="1" ht="15" customHeight="1" x14ac:dyDescent="0.2">
      <c r="A179" s="1616"/>
      <c r="B179" s="1616"/>
      <c r="C179" s="1616"/>
      <c r="D179" s="1616"/>
      <c r="E179" s="321" t="s">
        <v>255</v>
      </c>
      <c r="F179" s="328">
        <f t="shared" ref="F179:G180" si="36">F191+F203+F211</f>
        <v>280652</v>
      </c>
      <c r="G179" s="328">
        <f t="shared" si="36"/>
        <v>0</v>
      </c>
      <c r="H179" s="328">
        <f t="shared" si="34"/>
        <v>280652</v>
      </c>
      <c r="I179" s="71"/>
      <c r="J179" s="71"/>
      <c r="K179" s="71"/>
      <c r="L179" s="71"/>
    </row>
    <row r="180" spans="1:12" s="26" customFormat="1" ht="15" customHeight="1" x14ac:dyDescent="0.2">
      <c r="A180" s="1616"/>
      <c r="B180" s="1616"/>
      <c r="C180" s="1616"/>
      <c r="D180" s="1616"/>
      <c r="E180" s="321" t="s">
        <v>256</v>
      </c>
      <c r="F180" s="328">
        <f t="shared" si="36"/>
        <v>280652</v>
      </c>
      <c r="G180" s="328">
        <f t="shared" si="36"/>
        <v>0</v>
      </c>
      <c r="H180" s="328">
        <f t="shared" si="34"/>
        <v>280652</v>
      </c>
      <c r="I180" s="71"/>
      <c r="J180" s="71"/>
      <c r="K180" s="71"/>
      <c r="L180" s="71"/>
    </row>
    <row r="181" spans="1:12" s="26" customFormat="1" ht="15" customHeight="1" x14ac:dyDescent="0.2">
      <c r="A181" s="1616"/>
      <c r="B181" s="1616"/>
      <c r="C181" s="1616"/>
      <c r="D181" s="1616" t="s">
        <v>55</v>
      </c>
      <c r="E181" s="338" t="s">
        <v>66</v>
      </c>
      <c r="F181" s="328"/>
      <c r="G181" s="328"/>
      <c r="H181" s="328">
        <f t="shared" si="34"/>
        <v>0</v>
      </c>
      <c r="I181" s="71"/>
      <c r="J181" s="71"/>
      <c r="K181" s="71"/>
      <c r="L181" s="71"/>
    </row>
    <row r="182" spans="1:12" s="26" customFormat="1" ht="15" customHeight="1" x14ac:dyDescent="0.2">
      <c r="A182" s="1616"/>
      <c r="B182" s="1616"/>
      <c r="C182" s="1616"/>
      <c r="D182" s="1616"/>
      <c r="E182" s="321" t="s">
        <v>254</v>
      </c>
      <c r="F182" s="328">
        <f>F194+F206+F218</f>
        <v>0</v>
      </c>
      <c r="G182" s="328">
        <f>G194+G206+G218</f>
        <v>0</v>
      </c>
      <c r="H182" s="328">
        <f t="shared" si="34"/>
        <v>0</v>
      </c>
      <c r="I182" s="71"/>
      <c r="J182" s="71"/>
      <c r="K182" s="71"/>
      <c r="L182" s="71"/>
    </row>
    <row r="183" spans="1:12" s="26" customFormat="1" ht="15" customHeight="1" x14ac:dyDescent="0.2">
      <c r="A183" s="1616"/>
      <c r="B183" s="1616"/>
      <c r="C183" s="1616"/>
      <c r="D183" s="1616"/>
      <c r="E183" s="321" t="s">
        <v>255</v>
      </c>
      <c r="F183" s="328">
        <f t="shared" ref="F183:G184" si="37">F195+F207+F219</f>
        <v>0</v>
      </c>
      <c r="G183" s="328">
        <f t="shared" si="37"/>
        <v>0</v>
      </c>
      <c r="H183" s="328">
        <f t="shared" si="34"/>
        <v>0</v>
      </c>
      <c r="I183" s="71"/>
      <c r="J183" s="71"/>
      <c r="K183" s="71"/>
      <c r="L183" s="71"/>
    </row>
    <row r="184" spans="1:12" s="26" customFormat="1" ht="15" customHeight="1" x14ac:dyDescent="0.2">
      <c r="A184" s="1616"/>
      <c r="B184" s="1616"/>
      <c r="C184" s="1616"/>
      <c r="D184" s="1616"/>
      <c r="E184" s="321" t="s">
        <v>256</v>
      </c>
      <c r="F184" s="328">
        <f t="shared" si="37"/>
        <v>0</v>
      </c>
      <c r="G184" s="328">
        <f t="shared" si="37"/>
        <v>0</v>
      </c>
      <c r="H184" s="328">
        <f t="shared" si="34"/>
        <v>0</v>
      </c>
      <c r="I184" s="71"/>
      <c r="J184" s="71"/>
      <c r="K184" s="71"/>
      <c r="L184" s="71"/>
    </row>
    <row r="185" spans="1:12" s="26" customFormat="1" ht="15" customHeight="1" x14ac:dyDescent="0.2">
      <c r="A185" s="1589"/>
      <c r="B185" s="1590"/>
      <c r="C185" s="1591"/>
      <c r="D185" s="1586"/>
      <c r="E185" s="340" t="s">
        <v>207</v>
      </c>
      <c r="F185" s="329"/>
      <c r="G185" s="329"/>
      <c r="H185" s="329"/>
      <c r="I185" s="71"/>
      <c r="J185" s="71"/>
      <c r="K185" s="71"/>
      <c r="L185" s="71"/>
    </row>
    <row r="186" spans="1:12" s="26" customFormat="1" ht="15" customHeight="1" x14ac:dyDescent="0.2">
      <c r="A186" s="1592"/>
      <c r="B186" s="1593"/>
      <c r="C186" s="1594"/>
      <c r="D186" s="1587"/>
      <c r="E186" s="322" t="s">
        <v>254</v>
      </c>
      <c r="F186" s="329">
        <f>F190+F194</f>
        <v>0</v>
      </c>
      <c r="G186" s="329">
        <f>G190+G194</f>
        <v>0</v>
      </c>
      <c r="H186" s="329">
        <f t="shared" si="34"/>
        <v>0</v>
      </c>
      <c r="I186" s="71"/>
      <c r="J186" s="71"/>
      <c r="K186" s="71"/>
      <c r="L186" s="71"/>
    </row>
    <row r="187" spans="1:12" s="26" customFormat="1" ht="15" customHeight="1" x14ac:dyDescent="0.2">
      <c r="A187" s="1592"/>
      <c r="B187" s="1593"/>
      <c r="C187" s="1594"/>
      <c r="D187" s="1587"/>
      <c r="E187" s="322" t="s">
        <v>255</v>
      </c>
      <c r="F187" s="329">
        <f t="shared" ref="F187:G188" si="38">F191+F195</f>
        <v>280652</v>
      </c>
      <c r="G187" s="329">
        <f t="shared" si="38"/>
        <v>0</v>
      </c>
      <c r="H187" s="329">
        <f t="shared" si="34"/>
        <v>280652</v>
      </c>
      <c r="I187" s="71"/>
      <c r="J187" s="71"/>
      <c r="K187" s="71"/>
      <c r="L187" s="71"/>
    </row>
    <row r="188" spans="1:12" s="26" customFormat="1" ht="15" customHeight="1" x14ac:dyDescent="0.2">
      <c r="A188" s="1592"/>
      <c r="B188" s="1593"/>
      <c r="C188" s="1594"/>
      <c r="D188" s="1588"/>
      <c r="E188" s="322" t="s">
        <v>256</v>
      </c>
      <c r="F188" s="329">
        <f t="shared" si="38"/>
        <v>280652</v>
      </c>
      <c r="G188" s="329">
        <f t="shared" si="38"/>
        <v>0</v>
      </c>
      <c r="H188" s="329">
        <f t="shared" si="34"/>
        <v>280652</v>
      </c>
      <c r="I188" s="71"/>
      <c r="J188" s="71"/>
      <c r="K188" s="71"/>
      <c r="L188" s="71"/>
    </row>
    <row r="189" spans="1:12" s="26" customFormat="1" ht="15" customHeight="1" x14ac:dyDescent="0.2">
      <c r="A189" s="1592"/>
      <c r="B189" s="1593"/>
      <c r="C189" s="1594"/>
      <c r="D189" s="1586" t="s">
        <v>54</v>
      </c>
      <c r="E189" s="671" t="s">
        <v>65</v>
      </c>
      <c r="F189" s="329"/>
      <c r="G189" s="329"/>
      <c r="H189" s="329">
        <f t="shared" si="34"/>
        <v>0</v>
      </c>
      <c r="I189" s="71"/>
      <c r="J189" s="71"/>
      <c r="K189" s="71"/>
      <c r="L189" s="71"/>
    </row>
    <row r="190" spans="1:12" s="26" customFormat="1" ht="15" customHeight="1" x14ac:dyDescent="0.2">
      <c r="A190" s="1592"/>
      <c r="B190" s="1593"/>
      <c r="C190" s="1594"/>
      <c r="D190" s="1587"/>
      <c r="E190" s="322" t="s">
        <v>254</v>
      </c>
      <c r="F190" s="329">
        <v>0</v>
      </c>
      <c r="G190" s="329"/>
      <c r="H190" s="329">
        <f t="shared" si="34"/>
        <v>0</v>
      </c>
      <c r="I190" s="71"/>
      <c r="J190" s="71"/>
      <c r="K190" s="71"/>
      <c r="L190" s="71"/>
    </row>
    <row r="191" spans="1:12" s="26" customFormat="1" ht="15" customHeight="1" x14ac:dyDescent="0.2">
      <c r="A191" s="1592"/>
      <c r="B191" s="1593"/>
      <c r="C191" s="1594"/>
      <c r="D191" s="1587"/>
      <c r="E191" s="322" t="s">
        <v>255</v>
      </c>
      <c r="F191" s="329">
        <v>280652</v>
      </c>
      <c r="G191" s="329"/>
      <c r="H191" s="329">
        <f t="shared" si="34"/>
        <v>280652</v>
      </c>
      <c r="I191" s="71"/>
      <c r="J191" s="71"/>
      <c r="K191" s="71"/>
      <c r="L191" s="71"/>
    </row>
    <row r="192" spans="1:12" s="26" customFormat="1" ht="15" customHeight="1" x14ac:dyDescent="0.2">
      <c r="A192" s="1592"/>
      <c r="B192" s="1593"/>
      <c r="C192" s="1594"/>
      <c r="D192" s="1588"/>
      <c r="E192" s="322" t="s">
        <v>256</v>
      </c>
      <c r="F192" s="329">
        <v>280652</v>
      </c>
      <c r="G192" s="329"/>
      <c r="H192" s="329">
        <f t="shared" si="34"/>
        <v>280652</v>
      </c>
      <c r="I192" s="71"/>
      <c r="J192" s="71"/>
      <c r="K192" s="71"/>
      <c r="L192" s="71"/>
    </row>
    <row r="193" spans="1:12" s="26" customFormat="1" ht="15" customHeight="1" x14ac:dyDescent="0.2">
      <c r="A193" s="1592"/>
      <c r="B193" s="1593"/>
      <c r="C193" s="1594"/>
      <c r="D193" s="1586" t="s">
        <v>55</v>
      </c>
      <c r="E193" s="156" t="s">
        <v>66</v>
      </c>
      <c r="F193" s="329"/>
      <c r="G193" s="329"/>
      <c r="H193" s="329">
        <f t="shared" si="34"/>
        <v>0</v>
      </c>
      <c r="I193" s="71"/>
      <c r="J193" s="71"/>
      <c r="K193" s="71"/>
      <c r="L193" s="71"/>
    </row>
    <row r="194" spans="1:12" s="26" customFormat="1" ht="15" customHeight="1" x14ac:dyDescent="0.2">
      <c r="A194" s="1592"/>
      <c r="B194" s="1593"/>
      <c r="C194" s="1594"/>
      <c r="D194" s="1587"/>
      <c r="E194" s="322" t="s">
        <v>254</v>
      </c>
      <c r="F194" s="329"/>
      <c r="G194" s="329"/>
      <c r="H194" s="329">
        <f t="shared" si="34"/>
        <v>0</v>
      </c>
      <c r="I194" s="71"/>
      <c r="J194" s="71"/>
      <c r="K194" s="71"/>
      <c r="L194" s="71"/>
    </row>
    <row r="195" spans="1:12" s="26" customFormat="1" ht="15" customHeight="1" x14ac:dyDescent="0.2">
      <c r="A195" s="1592"/>
      <c r="B195" s="1593"/>
      <c r="C195" s="1594"/>
      <c r="D195" s="1587"/>
      <c r="E195" s="322" t="s">
        <v>255</v>
      </c>
      <c r="F195" s="329"/>
      <c r="G195" s="329"/>
      <c r="H195" s="329">
        <f t="shared" si="34"/>
        <v>0</v>
      </c>
      <c r="I195" s="71"/>
      <c r="J195" s="71"/>
      <c r="K195" s="71"/>
      <c r="L195" s="71"/>
    </row>
    <row r="196" spans="1:12" s="26" customFormat="1" ht="15" customHeight="1" x14ac:dyDescent="0.2">
      <c r="A196" s="1592"/>
      <c r="B196" s="1593"/>
      <c r="C196" s="1594"/>
      <c r="D196" s="1588"/>
      <c r="E196" s="322" t="s">
        <v>256</v>
      </c>
      <c r="F196" s="329"/>
      <c r="G196" s="329"/>
      <c r="H196" s="329">
        <f t="shared" si="34"/>
        <v>0</v>
      </c>
      <c r="I196" s="71"/>
      <c r="J196" s="71"/>
      <c r="K196" s="71"/>
      <c r="L196" s="71"/>
    </row>
    <row r="197" spans="1:12" s="26" customFormat="1" ht="15" customHeight="1" x14ac:dyDescent="0.2">
      <c r="A197" s="1592"/>
      <c r="B197" s="1593"/>
      <c r="C197" s="1594"/>
      <c r="D197" s="1586"/>
      <c r="E197" s="340" t="s">
        <v>188</v>
      </c>
      <c r="F197" s="329"/>
      <c r="G197" s="329"/>
      <c r="H197" s="329"/>
      <c r="I197" s="71"/>
      <c r="J197" s="71"/>
      <c r="K197" s="71"/>
      <c r="L197" s="71"/>
    </row>
    <row r="198" spans="1:12" s="26" customFormat="1" ht="15" customHeight="1" x14ac:dyDescent="0.2">
      <c r="A198" s="1592"/>
      <c r="B198" s="1593"/>
      <c r="C198" s="1594"/>
      <c r="D198" s="1587"/>
      <c r="E198" s="322" t="s">
        <v>254</v>
      </c>
      <c r="F198" s="329">
        <f>F202+F206</f>
        <v>0</v>
      </c>
      <c r="G198" s="329">
        <f>G202+G206</f>
        <v>0</v>
      </c>
      <c r="H198" s="329">
        <f t="shared" si="34"/>
        <v>0</v>
      </c>
      <c r="I198" s="71"/>
      <c r="J198" s="71"/>
      <c r="K198" s="71"/>
      <c r="L198" s="71"/>
    </row>
    <row r="199" spans="1:12" s="26" customFormat="1" ht="15" customHeight="1" x14ac:dyDescent="0.2">
      <c r="A199" s="1592"/>
      <c r="B199" s="1593"/>
      <c r="C199" s="1594"/>
      <c r="D199" s="1587"/>
      <c r="E199" s="322" t="s">
        <v>255</v>
      </c>
      <c r="F199" s="329">
        <f t="shared" ref="F199:G200" si="39">F203+F207</f>
        <v>0</v>
      </c>
      <c r="G199" s="329">
        <f t="shared" si="39"/>
        <v>0</v>
      </c>
      <c r="H199" s="329">
        <f t="shared" si="34"/>
        <v>0</v>
      </c>
      <c r="I199" s="71"/>
      <c r="J199" s="71"/>
      <c r="K199" s="71"/>
      <c r="L199" s="71"/>
    </row>
    <row r="200" spans="1:12" s="26" customFormat="1" ht="15" customHeight="1" x14ac:dyDescent="0.2">
      <c r="A200" s="1592"/>
      <c r="B200" s="1593"/>
      <c r="C200" s="1594"/>
      <c r="D200" s="1588"/>
      <c r="E200" s="322" t="s">
        <v>256</v>
      </c>
      <c r="F200" s="329">
        <f t="shared" si="39"/>
        <v>0</v>
      </c>
      <c r="G200" s="329">
        <f t="shared" si="39"/>
        <v>0</v>
      </c>
      <c r="H200" s="329">
        <f t="shared" si="34"/>
        <v>0</v>
      </c>
      <c r="I200" s="71"/>
      <c r="J200" s="71"/>
      <c r="K200" s="71"/>
      <c r="L200" s="71"/>
    </row>
    <row r="201" spans="1:12" s="26" customFormat="1" ht="15" customHeight="1" x14ac:dyDescent="0.2">
      <c r="A201" s="1592"/>
      <c r="B201" s="1593"/>
      <c r="C201" s="1594"/>
      <c r="D201" s="1586" t="s">
        <v>54</v>
      </c>
      <c r="E201" s="671" t="s">
        <v>65</v>
      </c>
      <c r="F201" s="329"/>
      <c r="G201" s="329"/>
      <c r="H201" s="329">
        <f t="shared" si="34"/>
        <v>0</v>
      </c>
      <c r="I201" s="71"/>
      <c r="J201" s="71"/>
      <c r="K201" s="71"/>
      <c r="L201" s="71"/>
    </row>
    <row r="202" spans="1:12" s="26" customFormat="1" ht="15" customHeight="1" x14ac:dyDescent="0.2">
      <c r="A202" s="1592"/>
      <c r="B202" s="1593"/>
      <c r="C202" s="1594"/>
      <c r="D202" s="1587"/>
      <c r="E202" s="322" t="s">
        <v>254</v>
      </c>
      <c r="F202" s="329"/>
      <c r="G202" s="329"/>
      <c r="H202" s="329">
        <f t="shared" si="34"/>
        <v>0</v>
      </c>
      <c r="I202" s="71"/>
      <c r="J202" s="71"/>
      <c r="K202" s="71"/>
      <c r="L202" s="71"/>
    </row>
    <row r="203" spans="1:12" s="26" customFormat="1" ht="15" customHeight="1" x14ac:dyDescent="0.2">
      <c r="A203" s="1592"/>
      <c r="B203" s="1593"/>
      <c r="C203" s="1594"/>
      <c r="D203" s="1587"/>
      <c r="E203" s="322" t="s">
        <v>255</v>
      </c>
      <c r="F203" s="329"/>
      <c r="G203" s="329"/>
      <c r="H203" s="329">
        <f t="shared" si="34"/>
        <v>0</v>
      </c>
      <c r="I203" s="71"/>
      <c r="J203" s="71"/>
      <c r="K203" s="71"/>
      <c r="L203" s="71"/>
    </row>
    <row r="204" spans="1:12" s="26" customFormat="1" ht="15" customHeight="1" x14ac:dyDescent="0.2">
      <c r="A204" s="1592"/>
      <c r="B204" s="1593"/>
      <c r="C204" s="1594"/>
      <c r="D204" s="1588"/>
      <c r="E204" s="322" t="s">
        <v>256</v>
      </c>
      <c r="F204" s="329"/>
      <c r="G204" s="329"/>
      <c r="H204" s="329">
        <f t="shared" si="34"/>
        <v>0</v>
      </c>
      <c r="I204" s="71"/>
      <c r="J204" s="71"/>
      <c r="K204" s="71"/>
      <c r="L204" s="71"/>
    </row>
    <row r="205" spans="1:12" s="26" customFormat="1" ht="15" customHeight="1" x14ac:dyDescent="0.2">
      <c r="A205" s="1592"/>
      <c r="B205" s="1593"/>
      <c r="C205" s="1594"/>
      <c r="D205" s="1586" t="s">
        <v>55</v>
      </c>
      <c r="E205" s="156" t="s">
        <v>66</v>
      </c>
      <c r="F205" s="329"/>
      <c r="G205" s="329"/>
      <c r="H205" s="329">
        <f t="shared" si="34"/>
        <v>0</v>
      </c>
      <c r="I205" s="71"/>
      <c r="J205" s="71"/>
      <c r="K205" s="71"/>
      <c r="L205" s="71"/>
    </row>
    <row r="206" spans="1:12" s="26" customFormat="1" ht="15" customHeight="1" x14ac:dyDescent="0.2">
      <c r="A206" s="1592"/>
      <c r="B206" s="1593"/>
      <c r="C206" s="1594"/>
      <c r="D206" s="1587"/>
      <c r="E206" s="322" t="s">
        <v>254</v>
      </c>
      <c r="F206" s="329"/>
      <c r="G206" s="329"/>
      <c r="H206" s="329">
        <f t="shared" si="34"/>
        <v>0</v>
      </c>
      <c r="I206" s="71"/>
      <c r="J206" s="71"/>
      <c r="K206" s="71"/>
      <c r="L206" s="71"/>
    </row>
    <row r="207" spans="1:12" s="26" customFormat="1" ht="15" customHeight="1" x14ac:dyDescent="0.2">
      <c r="A207" s="1592"/>
      <c r="B207" s="1593"/>
      <c r="C207" s="1594"/>
      <c r="D207" s="1587"/>
      <c r="E207" s="322" t="s">
        <v>255</v>
      </c>
      <c r="F207" s="329"/>
      <c r="G207" s="329"/>
      <c r="H207" s="329">
        <f t="shared" si="34"/>
        <v>0</v>
      </c>
      <c r="I207" s="71"/>
      <c r="J207" s="71"/>
      <c r="K207" s="71"/>
      <c r="L207" s="71"/>
    </row>
    <row r="208" spans="1:12" s="26" customFormat="1" ht="15" customHeight="1" x14ac:dyDescent="0.2">
      <c r="A208" s="1592"/>
      <c r="B208" s="1593"/>
      <c r="C208" s="1594"/>
      <c r="D208" s="1588"/>
      <c r="E208" s="322" t="s">
        <v>256</v>
      </c>
      <c r="F208" s="329"/>
      <c r="G208" s="329"/>
      <c r="H208" s="329">
        <f t="shared" si="34"/>
        <v>0</v>
      </c>
      <c r="I208" s="71"/>
      <c r="J208" s="71"/>
      <c r="K208" s="71"/>
      <c r="L208" s="71"/>
    </row>
    <row r="209" spans="1:12" s="26" customFormat="1" ht="15" customHeight="1" x14ac:dyDescent="0.2">
      <c r="A209" s="1592"/>
      <c r="B209" s="1593"/>
      <c r="C209" s="1594"/>
      <c r="D209" s="1586"/>
      <c r="E209" s="340" t="s">
        <v>189</v>
      </c>
      <c r="F209" s="329"/>
      <c r="G209" s="329"/>
      <c r="H209" s="329"/>
      <c r="I209" s="71"/>
      <c r="J209" s="71"/>
      <c r="K209" s="71"/>
      <c r="L209" s="71"/>
    </row>
    <row r="210" spans="1:12" s="26" customFormat="1" ht="15" customHeight="1" x14ac:dyDescent="0.2">
      <c r="A210" s="1592"/>
      <c r="B210" s="1593"/>
      <c r="C210" s="1594"/>
      <c r="D210" s="1587"/>
      <c r="E210" s="322" t="s">
        <v>254</v>
      </c>
      <c r="F210" s="329">
        <f>F214+F218</f>
        <v>0</v>
      </c>
      <c r="G210" s="329">
        <f>G214+G218</f>
        <v>0</v>
      </c>
      <c r="H210" s="329">
        <f t="shared" si="34"/>
        <v>0</v>
      </c>
      <c r="I210" s="71"/>
      <c r="J210" s="71"/>
      <c r="K210" s="71"/>
      <c r="L210" s="71"/>
    </row>
    <row r="211" spans="1:12" s="26" customFormat="1" ht="15" customHeight="1" x14ac:dyDescent="0.2">
      <c r="A211" s="1592"/>
      <c r="B211" s="1593"/>
      <c r="C211" s="1594"/>
      <c r="D211" s="1587"/>
      <c r="E211" s="322" t="s">
        <v>255</v>
      </c>
      <c r="F211" s="329">
        <f t="shared" ref="F211:G212" si="40">F215+F219</f>
        <v>0</v>
      </c>
      <c r="G211" s="329">
        <f t="shared" si="40"/>
        <v>0</v>
      </c>
      <c r="H211" s="329">
        <f t="shared" si="34"/>
        <v>0</v>
      </c>
      <c r="I211" s="71"/>
      <c r="J211" s="71"/>
      <c r="K211" s="71"/>
      <c r="L211" s="71"/>
    </row>
    <row r="212" spans="1:12" s="26" customFormat="1" ht="15" customHeight="1" x14ac:dyDescent="0.2">
      <c r="A212" s="1592"/>
      <c r="B212" s="1593"/>
      <c r="C212" s="1594"/>
      <c r="D212" s="1588"/>
      <c r="E212" s="322" t="s">
        <v>256</v>
      </c>
      <c r="F212" s="329">
        <f t="shared" si="40"/>
        <v>0</v>
      </c>
      <c r="G212" s="329">
        <f t="shared" si="40"/>
        <v>0</v>
      </c>
      <c r="H212" s="329">
        <f t="shared" si="34"/>
        <v>0</v>
      </c>
      <c r="I212" s="71"/>
      <c r="J212" s="71"/>
      <c r="K212" s="71"/>
      <c r="L212" s="71"/>
    </row>
    <row r="213" spans="1:12" s="26" customFormat="1" ht="15" customHeight="1" x14ac:dyDescent="0.2">
      <c r="A213" s="1592"/>
      <c r="B213" s="1593"/>
      <c r="C213" s="1594"/>
      <c r="D213" s="1586" t="s">
        <v>54</v>
      </c>
      <c r="E213" s="671" t="s">
        <v>65</v>
      </c>
      <c r="F213" s="329"/>
      <c r="G213" s="329"/>
      <c r="H213" s="329">
        <f t="shared" si="34"/>
        <v>0</v>
      </c>
      <c r="I213" s="71"/>
      <c r="J213" s="71"/>
      <c r="K213" s="71"/>
      <c r="L213" s="71"/>
    </row>
    <row r="214" spans="1:12" s="26" customFormat="1" ht="15" customHeight="1" x14ac:dyDescent="0.2">
      <c r="A214" s="1592"/>
      <c r="B214" s="1593"/>
      <c r="C214" s="1594"/>
      <c r="D214" s="1587"/>
      <c r="E214" s="322" t="s">
        <v>254</v>
      </c>
      <c r="F214" s="329"/>
      <c r="G214" s="329"/>
      <c r="H214" s="329">
        <f t="shared" si="34"/>
        <v>0</v>
      </c>
      <c r="I214" s="71"/>
      <c r="J214" s="71"/>
      <c r="K214" s="71"/>
      <c r="L214" s="71"/>
    </row>
    <row r="215" spans="1:12" s="26" customFormat="1" ht="15" customHeight="1" x14ac:dyDescent="0.2">
      <c r="A215" s="1592"/>
      <c r="B215" s="1593"/>
      <c r="C215" s="1594"/>
      <c r="D215" s="1587"/>
      <c r="E215" s="322" t="s">
        <v>255</v>
      </c>
      <c r="F215" s="329"/>
      <c r="G215" s="329"/>
      <c r="H215" s="329">
        <f t="shared" si="34"/>
        <v>0</v>
      </c>
      <c r="I215" s="71"/>
      <c r="J215" s="71"/>
      <c r="K215" s="71"/>
      <c r="L215" s="71"/>
    </row>
    <row r="216" spans="1:12" s="26" customFormat="1" ht="15" customHeight="1" x14ac:dyDescent="0.2">
      <c r="A216" s="1592"/>
      <c r="B216" s="1593"/>
      <c r="C216" s="1594"/>
      <c r="D216" s="1588"/>
      <c r="E216" s="322" t="s">
        <v>256</v>
      </c>
      <c r="F216" s="329"/>
      <c r="G216" s="329"/>
      <c r="H216" s="329">
        <f t="shared" si="34"/>
        <v>0</v>
      </c>
      <c r="I216" s="71"/>
      <c r="J216" s="71"/>
      <c r="K216" s="71"/>
      <c r="L216" s="71"/>
    </row>
    <row r="217" spans="1:12" s="26" customFormat="1" ht="15" customHeight="1" x14ac:dyDescent="0.2">
      <c r="A217" s="1592"/>
      <c r="B217" s="1593"/>
      <c r="C217" s="1594"/>
      <c r="D217" s="1586" t="s">
        <v>55</v>
      </c>
      <c r="E217" s="156" t="s">
        <v>66</v>
      </c>
      <c r="F217" s="329"/>
      <c r="G217" s="329"/>
      <c r="H217" s="329">
        <f t="shared" si="34"/>
        <v>0</v>
      </c>
      <c r="I217" s="71"/>
      <c r="J217" s="71"/>
      <c r="K217" s="71"/>
      <c r="L217" s="71"/>
    </row>
    <row r="218" spans="1:12" s="26" customFormat="1" ht="15" customHeight="1" x14ac:dyDescent="0.2">
      <c r="A218" s="1592"/>
      <c r="B218" s="1593"/>
      <c r="C218" s="1594"/>
      <c r="D218" s="1587"/>
      <c r="E218" s="322" t="s">
        <v>254</v>
      </c>
      <c r="F218" s="329"/>
      <c r="G218" s="329"/>
      <c r="H218" s="329">
        <f t="shared" si="34"/>
        <v>0</v>
      </c>
      <c r="I218" s="71"/>
      <c r="J218" s="71"/>
      <c r="K218" s="71"/>
      <c r="L218" s="71"/>
    </row>
    <row r="219" spans="1:12" s="26" customFormat="1" ht="15" customHeight="1" x14ac:dyDescent="0.2">
      <c r="A219" s="1592"/>
      <c r="B219" s="1593"/>
      <c r="C219" s="1594"/>
      <c r="D219" s="1587"/>
      <c r="E219" s="322" t="s">
        <v>255</v>
      </c>
      <c r="F219" s="329"/>
      <c r="G219" s="329"/>
      <c r="H219" s="329">
        <f t="shared" si="34"/>
        <v>0</v>
      </c>
      <c r="I219" s="71"/>
      <c r="J219" s="71"/>
      <c r="K219" s="71"/>
      <c r="L219" s="71"/>
    </row>
    <row r="220" spans="1:12" s="26" customFormat="1" ht="15" customHeight="1" x14ac:dyDescent="0.2">
      <c r="A220" s="1595"/>
      <c r="B220" s="1596"/>
      <c r="C220" s="1597"/>
      <c r="D220" s="1588"/>
      <c r="E220" s="322" t="s">
        <v>256</v>
      </c>
      <c r="F220" s="329"/>
      <c r="G220" s="329"/>
      <c r="H220" s="329">
        <f t="shared" si="34"/>
        <v>0</v>
      </c>
      <c r="I220" s="71"/>
      <c r="J220" s="71"/>
      <c r="K220" s="71"/>
      <c r="L220" s="71"/>
    </row>
    <row r="221" spans="1:12" s="26" customFormat="1" ht="15" customHeight="1" x14ac:dyDescent="0.2">
      <c r="A221" s="1616">
        <v>4</v>
      </c>
      <c r="B221" s="1616"/>
      <c r="C221" s="1616" t="s">
        <v>106</v>
      </c>
      <c r="D221" s="1616"/>
      <c r="E221" s="339" t="s">
        <v>160</v>
      </c>
      <c r="F221" s="328"/>
      <c r="G221" s="328"/>
      <c r="H221" s="328"/>
      <c r="I221" s="71"/>
      <c r="J221" s="71"/>
      <c r="K221" s="71"/>
      <c r="L221" s="71"/>
    </row>
    <row r="222" spans="1:12" s="26" customFormat="1" ht="15" customHeight="1" x14ac:dyDescent="0.2">
      <c r="A222" s="1616"/>
      <c r="B222" s="1616"/>
      <c r="C222" s="1616"/>
      <c r="D222" s="1616"/>
      <c r="E222" s="321" t="s">
        <v>254</v>
      </c>
      <c r="F222" s="328">
        <f>F226+F230</f>
        <v>0</v>
      </c>
      <c r="G222" s="328">
        <f>G226+G230</f>
        <v>0</v>
      </c>
      <c r="H222" s="328">
        <f t="shared" ref="H222:H408" si="41">F222</f>
        <v>0</v>
      </c>
      <c r="I222" s="71"/>
      <c r="J222" s="71"/>
      <c r="K222" s="71"/>
      <c r="L222" s="71"/>
    </row>
    <row r="223" spans="1:12" s="26" customFormat="1" ht="15" customHeight="1" x14ac:dyDescent="0.2">
      <c r="A223" s="1616"/>
      <c r="B223" s="1616"/>
      <c r="C223" s="1616"/>
      <c r="D223" s="1616"/>
      <c r="E223" s="321" t="s">
        <v>255</v>
      </c>
      <c r="F223" s="328">
        <f t="shared" ref="F223:G224" si="42">F227+F231</f>
        <v>0</v>
      </c>
      <c r="G223" s="328">
        <f t="shared" si="42"/>
        <v>0</v>
      </c>
      <c r="H223" s="328">
        <f t="shared" si="41"/>
        <v>0</v>
      </c>
      <c r="I223" s="71"/>
      <c r="J223" s="71"/>
      <c r="K223" s="71"/>
      <c r="L223" s="71"/>
    </row>
    <row r="224" spans="1:12" s="26" customFormat="1" ht="15" customHeight="1" x14ac:dyDescent="0.2">
      <c r="A224" s="1616"/>
      <c r="B224" s="1616"/>
      <c r="C224" s="1616"/>
      <c r="D224" s="1616"/>
      <c r="E224" s="321" t="s">
        <v>256</v>
      </c>
      <c r="F224" s="328">
        <f t="shared" si="42"/>
        <v>0</v>
      </c>
      <c r="G224" s="328">
        <f t="shared" si="42"/>
        <v>0</v>
      </c>
      <c r="H224" s="328">
        <f t="shared" si="41"/>
        <v>0</v>
      </c>
      <c r="I224" s="71"/>
      <c r="J224" s="71"/>
      <c r="K224" s="71"/>
      <c r="L224" s="71"/>
    </row>
    <row r="225" spans="1:12" s="26" customFormat="1" ht="15" customHeight="1" x14ac:dyDescent="0.2">
      <c r="A225" s="1616"/>
      <c r="B225" s="1616"/>
      <c r="C225" s="1616"/>
      <c r="D225" s="1616" t="s">
        <v>54</v>
      </c>
      <c r="E225" s="337" t="s">
        <v>65</v>
      </c>
      <c r="F225" s="328"/>
      <c r="G225" s="328"/>
      <c r="H225" s="328"/>
      <c r="I225" s="71"/>
      <c r="J225" s="71"/>
      <c r="K225" s="71"/>
      <c r="L225" s="71"/>
    </row>
    <row r="226" spans="1:12" s="26" customFormat="1" ht="15" customHeight="1" x14ac:dyDescent="0.2">
      <c r="A226" s="1616"/>
      <c r="B226" s="1616"/>
      <c r="C226" s="1616"/>
      <c r="D226" s="1616"/>
      <c r="E226" s="321" t="s">
        <v>254</v>
      </c>
      <c r="F226" s="328">
        <f>F238+F250+F262</f>
        <v>0</v>
      </c>
      <c r="G226" s="328">
        <f>G238+G250+G262</f>
        <v>0</v>
      </c>
      <c r="H226" s="328">
        <f t="shared" si="41"/>
        <v>0</v>
      </c>
      <c r="I226" s="71"/>
      <c r="J226" s="71"/>
      <c r="K226" s="71"/>
      <c r="L226" s="71"/>
    </row>
    <row r="227" spans="1:12" s="26" customFormat="1" ht="15" customHeight="1" x14ac:dyDescent="0.2">
      <c r="A227" s="1616"/>
      <c r="B227" s="1616"/>
      <c r="C227" s="1616"/>
      <c r="D227" s="1616"/>
      <c r="E227" s="321" t="s">
        <v>255</v>
      </c>
      <c r="F227" s="328">
        <f t="shared" ref="F227:G228" si="43">F239+F251+F263</f>
        <v>0</v>
      </c>
      <c r="G227" s="328">
        <f t="shared" si="43"/>
        <v>0</v>
      </c>
      <c r="H227" s="328">
        <f t="shared" si="41"/>
        <v>0</v>
      </c>
      <c r="I227" s="71"/>
      <c r="J227" s="71"/>
      <c r="K227" s="71"/>
      <c r="L227" s="71"/>
    </row>
    <row r="228" spans="1:12" s="26" customFormat="1" ht="15" customHeight="1" x14ac:dyDescent="0.2">
      <c r="A228" s="1616"/>
      <c r="B228" s="1616"/>
      <c r="C228" s="1616"/>
      <c r="D228" s="1616"/>
      <c r="E228" s="321" t="s">
        <v>256</v>
      </c>
      <c r="F228" s="328">
        <f t="shared" si="43"/>
        <v>0</v>
      </c>
      <c r="G228" s="328">
        <f t="shared" si="43"/>
        <v>0</v>
      </c>
      <c r="H228" s="328">
        <f t="shared" si="41"/>
        <v>0</v>
      </c>
      <c r="I228" s="71"/>
      <c r="J228" s="71"/>
      <c r="K228" s="71"/>
      <c r="L228" s="71"/>
    </row>
    <row r="229" spans="1:12" s="26" customFormat="1" ht="15" customHeight="1" x14ac:dyDescent="0.2">
      <c r="A229" s="1616"/>
      <c r="B229" s="1616"/>
      <c r="C229" s="1616"/>
      <c r="D229" s="1616" t="s">
        <v>55</v>
      </c>
      <c r="E229" s="338" t="s">
        <v>66</v>
      </c>
      <c r="F229" s="328"/>
      <c r="G229" s="328"/>
      <c r="H229" s="328"/>
      <c r="I229" s="71"/>
      <c r="J229" s="71"/>
      <c r="K229" s="71"/>
      <c r="L229" s="71"/>
    </row>
    <row r="230" spans="1:12" s="26" customFormat="1" ht="15" customHeight="1" x14ac:dyDescent="0.2">
      <c r="A230" s="1616"/>
      <c r="B230" s="1616"/>
      <c r="C230" s="1616"/>
      <c r="D230" s="1616"/>
      <c r="E230" s="321" t="s">
        <v>254</v>
      </c>
      <c r="F230" s="328">
        <f>F242+F254+F266</f>
        <v>0</v>
      </c>
      <c r="G230" s="328">
        <f>G242+G254+G266</f>
        <v>0</v>
      </c>
      <c r="H230" s="328">
        <f t="shared" si="41"/>
        <v>0</v>
      </c>
      <c r="I230" s="71"/>
      <c r="J230" s="71"/>
      <c r="K230" s="71"/>
      <c r="L230" s="71"/>
    </row>
    <row r="231" spans="1:12" s="26" customFormat="1" ht="15" customHeight="1" x14ac:dyDescent="0.2">
      <c r="A231" s="1616"/>
      <c r="B231" s="1616"/>
      <c r="C231" s="1616"/>
      <c r="D231" s="1616"/>
      <c r="E231" s="321" t="s">
        <v>255</v>
      </c>
      <c r="F231" s="328">
        <f t="shared" ref="F231:G232" si="44">F243+F255+F267</f>
        <v>0</v>
      </c>
      <c r="G231" s="328">
        <f t="shared" si="44"/>
        <v>0</v>
      </c>
      <c r="H231" s="328">
        <f t="shared" si="41"/>
        <v>0</v>
      </c>
      <c r="I231" s="71"/>
      <c r="J231" s="71"/>
      <c r="K231" s="71"/>
      <c r="L231" s="71"/>
    </row>
    <row r="232" spans="1:12" s="26" customFormat="1" ht="15" customHeight="1" x14ac:dyDescent="0.2">
      <c r="A232" s="1616"/>
      <c r="B232" s="1616"/>
      <c r="C232" s="1616"/>
      <c r="D232" s="1616"/>
      <c r="E232" s="321" t="s">
        <v>256</v>
      </c>
      <c r="F232" s="328">
        <f t="shared" si="44"/>
        <v>0</v>
      </c>
      <c r="G232" s="328">
        <f t="shared" si="44"/>
        <v>0</v>
      </c>
      <c r="H232" s="328">
        <f t="shared" si="41"/>
        <v>0</v>
      </c>
      <c r="I232" s="71"/>
      <c r="J232" s="71"/>
      <c r="K232" s="71"/>
      <c r="L232" s="71"/>
    </row>
    <row r="233" spans="1:12" s="26" customFormat="1" ht="15" customHeight="1" x14ac:dyDescent="0.2">
      <c r="A233" s="1606"/>
      <c r="B233" s="1606"/>
      <c r="C233" s="1606"/>
      <c r="D233" s="1585"/>
      <c r="E233" s="340" t="s">
        <v>207</v>
      </c>
      <c r="F233" s="329"/>
      <c r="G233" s="329"/>
      <c r="H233" s="329"/>
      <c r="I233" s="71"/>
      <c r="J233" s="71"/>
      <c r="K233" s="71"/>
      <c r="L233" s="71"/>
    </row>
    <row r="234" spans="1:12" s="26" customFormat="1" ht="15" customHeight="1" x14ac:dyDescent="0.2">
      <c r="A234" s="1606"/>
      <c r="B234" s="1606"/>
      <c r="C234" s="1606"/>
      <c r="D234" s="1585"/>
      <c r="E234" s="322" t="s">
        <v>254</v>
      </c>
      <c r="F234" s="329">
        <f>F238+F242</f>
        <v>0</v>
      </c>
      <c r="G234" s="329">
        <f>G238+G242</f>
        <v>0</v>
      </c>
      <c r="H234" s="329">
        <f t="shared" si="41"/>
        <v>0</v>
      </c>
      <c r="I234" s="71"/>
      <c r="J234" s="71"/>
      <c r="K234" s="71"/>
      <c r="L234" s="71"/>
    </row>
    <row r="235" spans="1:12" s="26" customFormat="1" ht="15" customHeight="1" x14ac:dyDescent="0.2">
      <c r="A235" s="1606"/>
      <c r="B235" s="1606"/>
      <c r="C235" s="1606"/>
      <c r="D235" s="1585"/>
      <c r="E235" s="322" t="s">
        <v>255</v>
      </c>
      <c r="F235" s="329">
        <f t="shared" ref="F235:G236" si="45">F239+F243</f>
        <v>0</v>
      </c>
      <c r="G235" s="329">
        <f t="shared" si="45"/>
        <v>0</v>
      </c>
      <c r="H235" s="329">
        <f t="shared" si="41"/>
        <v>0</v>
      </c>
      <c r="I235" s="71"/>
      <c r="J235" s="71"/>
      <c r="K235" s="71"/>
      <c r="L235" s="71"/>
    </row>
    <row r="236" spans="1:12" s="26" customFormat="1" ht="15" customHeight="1" x14ac:dyDescent="0.2">
      <c r="A236" s="1606"/>
      <c r="B236" s="1606"/>
      <c r="C236" s="1606"/>
      <c r="D236" s="1585"/>
      <c r="E236" s="322" t="s">
        <v>256</v>
      </c>
      <c r="F236" s="329">
        <f t="shared" si="45"/>
        <v>0</v>
      </c>
      <c r="G236" s="329">
        <f t="shared" si="45"/>
        <v>0</v>
      </c>
      <c r="H236" s="329">
        <f t="shared" si="41"/>
        <v>0</v>
      </c>
      <c r="I236" s="71"/>
      <c r="J236" s="71"/>
      <c r="K236" s="71"/>
      <c r="L236" s="71"/>
    </row>
    <row r="237" spans="1:12" s="26" customFormat="1" ht="15" customHeight="1" x14ac:dyDescent="0.2">
      <c r="A237" s="1606"/>
      <c r="B237" s="1606"/>
      <c r="C237" s="1606"/>
      <c r="D237" s="1585" t="s">
        <v>54</v>
      </c>
      <c r="E237" s="671" t="s">
        <v>65</v>
      </c>
      <c r="F237" s="329"/>
      <c r="G237" s="329"/>
      <c r="H237" s="329"/>
      <c r="I237" s="71"/>
      <c r="J237" s="71"/>
      <c r="K237" s="71"/>
      <c r="L237" s="71"/>
    </row>
    <row r="238" spans="1:12" s="26" customFormat="1" ht="15" customHeight="1" x14ac:dyDescent="0.2">
      <c r="A238" s="1606"/>
      <c r="B238" s="1606"/>
      <c r="C238" s="1606"/>
      <c r="D238" s="1585"/>
      <c r="E238" s="322" t="s">
        <v>254</v>
      </c>
      <c r="F238" s="329"/>
      <c r="G238" s="329"/>
      <c r="H238" s="329">
        <f t="shared" si="41"/>
        <v>0</v>
      </c>
      <c r="I238" s="71"/>
      <c r="J238" s="71"/>
      <c r="K238" s="71"/>
      <c r="L238" s="71"/>
    </row>
    <row r="239" spans="1:12" s="26" customFormat="1" ht="15" customHeight="1" x14ac:dyDescent="0.2">
      <c r="A239" s="1606"/>
      <c r="B239" s="1606"/>
      <c r="C239" s="1606"/>
      <c r="D239" s="1585"/>
      <c r="E239" s="322" t="s">
        <v>255</v>
      </c>
      <c r="F239" s="329"/>
      <c r="G239" s="329"/>
      <c r="H239" s="329">
        <f t="shared" si="41"/>
        <v>0</v>
      </c>
      <c r="I239" s="71"/>
      <c r="J239" s="71"/>
      <c r="K239" s="71"/>
      <c r="L239" s="71"/>
    </row>
    <row r="240" spans="1:12" s="26" customFormat="1" ht="15" customHeight="1" x14ac:dyDescent="0.2">
      <c r="A240" s="1606"/>
      <c r="B240" s="1606"/>
      <c r="C240" s="1606"/>
      <c r="D240" s="1585"/>
      <c r="E240" s="322" t="s">
        <v>256</v>
      </c>
      <c r="F240" s="329"/>
      <c r="G240" s="329"/>
      <c r="H240" s="329">
        <f t="shared" si="41"/>
        <v>0</v>
      </c>
      <c r="I240" s="71"/>
      <c r="J240" s="71"/>
      <c r="K240" s="71"/>
      <c r="L240" s="71"/>
    </row>
    <row r="241" spans="1:12" s="26" customFormat="1" ht="15" customHeight="1" x14ac:dyDescent="0.2">
      <c r="A241" s="1606"/>
      <c r="B241" s="1606"/>
      <c r="C241" s="1606"/>
      <c r="D241" s="1585" t="s">
        <v>55</v>
      </c>
      <c r="E241" s="156" t="s">
        <v>66</v>
      </c>
      <c r="F241" s="329"/>
      <c r="G241" s="329"/>
      <c r="H241" s="329"/>
      <c r="I241" s="71"/>
      <c r="J241" s="71"/>
      <c r="K241" s="71"/>
      <c r="L241" s="71"/>
    </row>
    <row r="242" spans="1:12" s="26" customFormat="1" ht="15" customHeight="1" x14ac:dyDescent="0.2">
      <c r="A242" s="1606"/>
      <c r="B242" s="1606"/>
      <c r="C242" s="1606"/>
      <c r="D242" s="1585"/>
      <c r="E242" s="322" t="s">
        <v>254</v>
      </c>
      <c r="F242" s="329"/>
      <c r="G242" s="329"/>
      <c r="H242" s="329">
        <f t="shared" si="41"/>
        <v>0</v>
      </c>
      <c r="I242" s="71"/>
      <c r="J242" s="71"/>
      <c r="K242" s="71"/>
      <c r="L242" s="71"/>
    </row>
    <row r="243" spans="1:12" s="26" customFormat="1" ht="15" customHeight="1" x14ac:dyDescent="0.2">
      <c r="A243" s="1606"/>
      <c r="B243" s="1606"/>
      <c r="C243" s="1606"/>
      <c r="D243" s="1585"/>
      <c r="E243" s="322" t="s">
        <v>255</v>
      </c>
      <c r="F243" s="329"/>
      <c r="G243" s="329"/>
      <c r="H243" s="329">
        <f t="shared" si="41"/>
        <v>0</v>
      </c>
      <c r="I243" s="71"/>
      <c r="J243" s="71"/>
      <c r="K243" s="71"/>
      <c r="L243" s="71"/>
    </row>
    <row r="244" spans="1:12" s="26" customFormat="1" ht="15" customHeight="1" x14ac:dyDescent="0.2">
      <c r="A244" s="1606"/>
      <c r="B244" s="1606"/>
      <c r="C244" s="1606"/>
      <c r="D244" s="1585"/>
      <c r="E244" s="322" t="s">
        <v>256</v>
      </c>
      <c r="F244" s="329"/>
      <c r="G244" s="329"/>
      <c r="H244" s="329">
        <f t="shared" si="41"/>
        <v>0</v>
      </c>
      <c r="I244" s="71"/>
      <c r="J244" s="71"/>
      <c r="K244" s="71"/>
      <c r="L244" s="71"/>
    </row>
    <row r="245" spans="1:12" s="26" customFormat="1" ht="15" customHeight="1" x14ac:dyDescent="0.2">
      <c r="A245" s="1606"/>
      <c r="B245" s="1606"/>
      <c r="C245" s="1606"/>
      <c r="D245" s="1585"/>
      <c r="E245" s="340" t="s">
        <v>188</v>
      </c>
      <c r="F245" s="329"/>
      <c r="G245" s="329"/>
      <c r="H245" s="329"/>
      <c r="I245" s="71"/>
      <c r="J245" s="71"/>
      <c r="K245" s="71"/>
      <c r="L245" s="71"/>
    </row>
    <row r="246" spans="1:12" s="26" customFormat="1" ht="15" customHeight="1" x14ac:dyDescent="0.2">
      <c r="A246" s="1606"/>
      <c r="B246" s="1606"/>
      <c r="C246" s="1606"/>
      <c r="D246" s="1585"/>
      <c r="E246" s="322" t="s">
        <v>254</v>
      </c>
      <c r="F246" s="329">
        <f>F250+F254</f>
        <v>0</v>
      </c>
      <c r="G246" s="329">
        <f>G250+G254</f>
        <v>0</v>
      </c>
      <c r="H246" s="329">
        <f t="shared" si="41"/>
        <v>0</v>
      </c>
      <c r="I246" s="71"/>
      <c r="J246" s="71"/>
      <c r="K246" s="71"/>
      <c r="L246" s="71"/>
    </row>
    <row r="247" spans="1:12" s="26" customFormat="1" ht="15" customHeight="1" x14ac:dyDescent="0.2">
      <c r="A247" s="1606"/>
      <c r="B247" s="1606"/>
      <c r="C247" s="1606"/>
      <c r="D247" s="1585"/>
      <c r="E247" s="322" t="s">
        <v>255</v>
      </c>
      <c r="F247" s="329">
        <f t="shared" ref="F247:G248" si="46">F251+F255</f>
        <v>0</v>
      </c>
      <c r="G247" s="329">
        <f t="shared" si="46"/>
        <v>0</v>
      </c>
      <c r="H247" s="329">
        <f t="shared" si="41"/>
        <v>0</v>
      </c>
      <c r="I247" s="71"/>
      <c r="J247" s="71"/>
      <c r="K247" s="71"/>
      <c r="L247" s="71"/>
    </row>
    <row r="248" spans="1:12" s="26" customFormat="1" ht="15" customHeight="1" x14ac:dyDescent="0.2">
      <c r="A248" s="1606"/>
      <c r="B248" s="1606"/>
      <c r="C248" s="1606"/>
      <c r="D248" s="1585"/>
      <c r="E248" s="322" t="s">
        <v>256</v>
      </c>
      <c r="F248" s="329">
        <f t="shared" si="46"/>
        <v>0</v>
      </c>
      <c r="G248" s="329">
        <f t="shared" si="46"/>
        <v>0</v>
      </c>
      <c r="H248" s="329">
        <f t="shared" si="41"/>
        <v>0</v>
      </c>
      <c r="I248" s="71"/>
      <c r="J248" s="71"/>
      <c r="K248" s="71"/>
      <c r="L248" s="71"/>
    </row>
    <row r="249" spans="1:12" s="26" customFormat="1" ht="15" customHeight="1" x14ac:dyDescent="0.2">
      <c r="A249" s="1606"/>
      <c r="B249" s="1606"/>
      <c r="C249" s="1606"/>
      <c r="D249" s="1585" t="s">
        <v>54</v>
      </c>
      <c r="E249" s="671" t="s">
        <v>65</v>
      </c>
      <c r="F249" s="329"/>
      <c r="G249" s="329"/>
      <c r="H249" s="329"/>
      <c r="I249" s="71"/>
      <c r="J249" s="71"/>
      <c r="K249" s="71"/>
      <c r="L249" s="71"/>
    </row>
    <row r="250" spans="1:12" s="26" customFormat="1" ht="15" customHeight="1" x14ac:dyDescent="0.2">
      <c r="A250" s="1606"/>
      <c r="B250" s="1606"/>
      <c r="C250" s="1606"/>
      <c r="D250" s="1585"/>
      <c r="E250" s="322" t="s">
        <v>254</v>
      </c>
      <c r="F250" s="329"/>
      <c r="G250" s="329"/>
      <c r="H250" s="329">
        <f t="shared" si="41"/>
        <v>0</v>
      </c>
      <c r="I250" s="71"/>
      <c r="J250" s="71"/>
      <c r="K250" s="71"/>
      <c r="L250" s="71"/>
    </row>
    <row r="251" spans="1:12" s="26" customFormat="1" ht="15" customHeight="1" x14ac:dyDescent="0.2">
      <c r="A251" s="1606"/>
      <c r="B251" s="1606"/>
      <c r="C251" s="1606"/>
      <c r="D251" s="1585"/>
      <c r="E251" s="322" t="s">
        <v>255</v>
      </c>
      <c r="F251" s="329"/>
      <c r="G251" s="329"/>
      <c r="H251" s="329">
        <f t="shared" si="41"/>
        <v>0</v>
      </c>
      <c r="I251" s="71"/>
      <c r="J251" s="71"/>
      <c r="K251" s="71"/>
      <c r="L251" s="71"/>
    </row>
    <row r="252" spans="1:12" s="26" customFormat="1" ht="15" customHeight="1" x14ac:dyDescent="0.2">
      <c r="A252" s="1606"/>
      <c r="B252" s="1606"/>
      <c r="C252" s="1606"/>
      <c r="D252" s="1585"/>
      <c r="E252" s="322" t="s">
        <v>256</v>
      </c>
      <c r="F252" s="329"/>
      <c r="G252" s="329"/>
      <c r="H252" s="329">
        <f t="shared" si="41"/>
        <v>0</v>
      </c>
      <c r="I252" s="71"/>
      <c r="J252" s="71"/>
      <c r="K252" s="71"/>
      <c r="L252" s="71"/>
    </row>
    <row r="253" spans="1:12" s="26" customFormat="1" ht="15" customHeight="1" x14ac:dyDescent="0.2">
      <c r="A253" s="1606"/>
      <c r="B253" s="1606"/>
      <c r="C253" s="1606"/>
      <c r="D253" s="1585" t="s">
        <v>55</v>
      </c>
      <c r="E253" s="156" t="s">
        <v>66</v>
      </c>
      <c r="F253" s="329"/>
      <c r="G253" s="329"/>
      <c r="H253" s="329"/>
      <c r="I253" s="71"/>
      <c r="J253" s="71"/>
      <c r="K253" s="71"/>
      <c r="L253" s="71"/>
    </row>
    <row r="254" spans="1:12" s="26" customFormat="1" ht="15" customHeight="1" x14ac:dyDescent="0.2">
      <c r="A254" s="1606"/>
      <c r="B254" s="1606"/>
      <c r="C254" s="1606"/>
      <c r="D254" s="1585"/>
      <c r="E254" s="322" t="s">
        <v>254</v>
      </c>
      <c r="F254" s="329">
        <v>0</v>
      </c>
      <c r="G254" s="329"/>
      <c r="H254" s="329">
        <f t="shared" si="41"/>
        <v>0</v>
      </c>
      <c r="I254" s="71"/>
      <c r="J254" s="71"/>
      <c r="K254" s="71"/>
      <c r="L254" s="71"/>
    </row>
    <row r="255" spans="1:12" s="26" customFormat="1" ht="15" customHeight="1" x14ac:dyDescent="0.2">
      <c r="A255" s="1606"/>
      <c r="B255" s="1606"/>
      <c r="C255" s="1606"/>
      <c r="D255" s="1585"/>
      <c r="E255" s="322" t="s">
        <v>255</v>
      </c>
      <c r="F255" s="329">
        <v>0</v>
      </c>
      <c r="G255" s="329"/>
      <c r="H255" s="329">
        <f t="shared" si="41"/>
        <v>0</v>
      </c>
      <c r="I255" s="71"/>
      <c r="J255" s="71"/>
      <c r="K255" s="71"/>
      <c r="L255" s="71"/>
    </row>
    <row r="256" spans="1:12" s="26" customFormat="1" ht="15" customHeight="1" x14ac:dyDescent="0.2">
      <c r="A256" s="1606"/>
      <c r="B256" s="1606"/>
      <c r="C256" s="1606"/>
      <c r="D256" s="1585"/>
      <c r="E256" s="322" t="s">
        <v>256</v>
      </c>
      <c r="F256" s="329">
        <v>0</v>
      </c>
      <c r="G256" s="329"/>
      <c r="H256" s="329">
        <f t="shared" si="41"/>
        <v>0</v>
      </c>
      <c r="I256" s="71"/>
      <c r="J256" s="71"/>
      <c r="K256" s="71"/>
      <c r="L256" s="71"/>
    </row>
    <row r="257" spans="1:12" s="26" customFormat="1" ht="15" customHeight="1" x14ac:dyDescent="0.2">
      <c r="A257" s="1606"/>
      <c r="B257" s="1606"/>
      <c r="C257" s="1606"/>
      <c r="D257" s="1585"/>
      <c r="E257" s="340" t="s">
        <v>189</v>
      </c>
      <c r="F257" s="329"/>
      <c r="G257" s="329"/>
      <c r="H257" s="329"/>
      <c r="I257" s="71"/>
      <c r="J257" s="71"/>
      <c r="K257" s="71"/>
      <c r="L257" s="71"/>
    </row>
    <row r="258" spans="1:12" s="26" customFormat="1" ht="15" customHeight="1" x14ac:dyDescent="0.2">
      <c r="A258" s="1606"/>
      <c r="B258" s="1606"/>
      <c r="C258" s="1606"/>
      <c r="D258" s="1585"/>
      <c r="E258" s="322" t="s">
        <v>254</v>
      </c>
      <c r="F258" s="329">
        <f>F262+F266</f>
        <v>0</v>
      </c>
      <c r="G258" s="329">
        <f>G262+G266</f>
        <v>0</v>
      </c>
      <c r="H258" s="329">
        <f t="shared" si="41"/>
        <v>0</v>
      </c>
      <c r="I258" s="71"/>
      <c r="J258" s="71"/>
      <c r="K258" s="71"/>
      <c r="L258" s="71"/>
    </row>
    <row r="259" spans="1:12" s="26" customFormat="1" ht="15" customHeight="1" x14ac:dyDescent="0.2">
      <c r="A259" s="1606"/>
      <c r="B259" s="1606"/>
      <c r="C259" s="1606"/>
      <c r="D259" s="1585"/>
      <c r="E259" s="322" t="s">
        <v>255</v>
      </c>
      <c r="F259" s="329">
        <f t="shared" ref="F259:G260" si="47">F263+F267</f>
        <v>0</v>
      </c>
      <c r="G259" s="329">
        <f t="shared" si="47"/>
        <v>0</v>
      </c>
      <c r="H259" s="329">
        <f t="shared" si="41"/>
        <v>0</v>
      </c>
      <c r="I259" s="71"/>
      <c r="J259" s="71"/>
      <c r="K259" s="71"/>
      <c r="L259" s="71"/>
    </row>
    <row r="260" spans="1:12" s="26" customFormat="1" ht="15" customHeight="1" x14ac:dyDescent="0.2">
      <c r="A260" s="1606"/>
      <c r="B260" s="1606"/>
      <c r="C260" s="1606"/>
      <c r="D260" s="1585"/>
      <c r="E260" s="322" t="s">
        <v>256</v>
      </c>
      <c r="F260" s="329">
        <f t="shared" si="47"/>
        <v>0</v>
      </c>
      <c r="G260" s="329">
        <f t="shared" si="47"/>
        <v>0</v>
      </c>
      <c r="H260" s="329">
        <f t="shared" si="41"/>
        <v>0</v>
      </c>
      <c r="I260" s="71"/>
      <c r="J260" s="71"/>
      <c r="K260" s="71"/>
      <c r="L260" s="71"/>
    </row>
    <row r="261" spans="1:12" s="26" customFormat="1" ht="15" customHeight="1" x14ac:dyDescent="0.2">
      <c r="A261" s="1606"/>
      <c r="B261" s="1606"/>
      <c r="C261" s="1606"/>
      <c r="D261" s="1585" t="s">
        <v>54</v>
      </c>
      <c r="E261" s="671" t="s">
        <v>65</v>
      </c>
      <c r="F261" s="329"/>
      <c r="G261" s="329"/>
      <c r="H261" s="329"/>
      <c r="I261" s="71"/>
      <c r="J261" s="71"/>
      <c r="K261" s="71"/>
      <c r="L261" s="71"/>
    </row>
    <row r="262" spans="1:12" s="26" customFormat="1" ht="15" customHeight="1" x14ac:dyDescent="0.2">
      <c r="A262" s="1606"/>
      <c r="B262" s="1606"/>
      <c r="C262" s="1606"/>
      <c r="D262" s="1585"/>
      <c r="E262" s="322" t="s">
        <v>254</v>
      </c>
      <c r="F262" s="329"/>
      <c r="G262" s="329"/>
      <c r="H262" s="329">
        <f t="shared" si="41"/>
        <v>0</v>
      </c>
      <c r="I262" s="71"/>
      <c r="J262" s="71"/>
      <c r="K262" s="71"/>
      <c r="L262" s="71"/>
    </row>
    <row r="263" spans="1:12" s="26" customFormat="1" ht="15" customHeight="1" x14ac:dyDescent="0.2">
      <c r="A263" s="1606"/>
      <c r="B263" s="1606"/>
      <c r="C263" s="1606"/>
      <c r="D263" s="1585"/>
      <c r="E263" s="322" t="s">
        <v>255</v>
      </c>
      <c r="F263" s="329"/>
      <c r="G263" s="329"/>
      <c r="H263" s="329">
        <f t="shared" si="41"/>
        <v>0</v>
      </c>
      <c r="I263" s="71"/>
      <c r="J263" s="71"/>
      <c r="K263" s="71"/>
      <c r="L263" s="71"/>
    </row>
    <row r="264" spans="1:12" s="26" customFormat="1" ht="15" customHeight="1" x14ac:dyDescent="0.2">
      <c r="A264" s="1606"/>
      <c r="B264" s="1606"/>
      <c r="C264" s="1606"/>
      <c r="D264" s="1585"/>
      <c r="E264" s="322" t="s">
        <v>256</v>
      </c>
      <c r="F264" s="329"/>
      <c r="G264" s="329"/>
      <c r="H264" s="329">
        <f t="shared" si="41"/>
        <v>0</v>
      </c>
      <c r="I264" s="71"/>
      <c r="J264" s="71"/>
      <c r="K264" s="71"/>
      <c r="L264" s="71"/>
    </row>
    <row r="265" spans="1:12" s="26" customFormat="1" ht="15" customHeight="1" x14ac:dyDescent="0.2">
      <c r="A265" s="1606"/>
      <c r="B265" s="1606"/>
      <c r="C265" s="1606"/>
      <c r="D265" s="1585" t="s">
        <v>55</v>
      </c>
      <c r="E265" s="156" t="s">
        <v>66</v>
      </c>
      <c r="F265" s="329"/>
      <c r="G265" s="329"/>
      <c r="H265" s="329"/>
      <c r="I265" s="71"/>
      <c r="J265" s="71"/>
      <c r="K265" s="71"/>
      <c r="L265" s="71"/>
    </row>
    <row r="266" spans="1:12" s="26" customFormat="1" ht="15" customHeight="1" x14ac:dyDescent="0.2">
      <c r="A266" s="1606"/>
      <c r="B266" s="1606"/>
      <c r="C266" s="1606"/>
      <c r="D266" s="1585"/>
      <c r="E266" s="322" t="s">
        <v>254</v>
      </c>
      <c r="F266" s="329"/>
      <c r="G266" s="329"/>
      <c r="H266" s="329">
        <f t="shared" si="41"/>
        <v>0</v>
      </c>
      <c r="I266" s="71"/>
      <c r="J266" s="71"/>
      <c r="K266" s="71"/>
      <c r="L266" s="71"/>
    </row>
    <row r="267" spans="1:12" s="26" customFormat="1" ht="15" customHeight="1" x14ac:dyDescent="0.2">
      <c r="A267" s="1606"/>
      <c r="B267" s="1606"/>
      <c r="C267" s="1606"/>
      <c r="D267" s="1585"/>
      <c r="E267" s="322" t="s">
        <v>255</v>
      </c>
      <c r="F267" s="329"/>
      <c r="G267" s="329"/>
      <c r="H267" s="329">
        <f t="shared" si="41"/>
        <v>0</v>
      </c>
      <c r="I267" s="71"/>
      <c r="J267" s="71"/>
      <c r="K267" s="71"/>
      <c r="L267" s="71"/>
    </row>
    <row r="268" spans="1:12" s="26" customFormat="1" ht="15" customHeight="1" x14ac:dyDescent="0.2">
      <c r="A268" s="1606"/>
      <c r="B268" s="1606"/>
      <c r="C268" s="1606"/>
      <c r="D268" s="1585"/>
      <c r="E268" s="322" t="s">
        <v>256</v>
      </c>
      <c r="F268" s="329"/>
      <c r="G268" s="329"/>
      <c r="H268" s="329">
        <f t="shared" si="41"/>
        <v>0</v>
      </c>
      <c r="I268" s="71"/>
      <c r="J268" s="71"/>
      <c r="K268" s="71"/>
      <c r="L268" s="71"/>
    </row>
    <row r="269" spans="1:12" s="26" customFormat="1" ht="15" customHeight="1" x14ac:dyDescent="0.2">
      <c r="A269" s="1616">
        <v>5</v>
      </c>
      <c r="B269" s="1616"/>
      <c r="C269" s="1616" t="s">
        <v>174</v>
      </c>
      <c r="D269" s="1616"/>
      <c r="E269" s="339" t="s">
        <v>172</v>
      </c>
      <c r="F269" s="328"/>
      <c r="G269" s="328"/>
      <c r="H269" s="328"/>
      <c r="I269" s="71"/>
      <c r="J269" s="71"/>
      <c r="K269" s="71"/>
      <c r="L269" s="71"/>
    </row>
    <row r="270" spans="1:12" s="26" customFormat="1" ht="15" customHeight="1" x14ac:dyDescent="0.2">
      <c r="A270" s="1616"/>
      <c r="B270" s="1616"/>
      <c r="C270" s="1616"/>
      <c r="D270" s="1616"/>
      <c r="E270" s="321" t="s">
        <v>254</v>
      </c>
      <c r="F270" s="328">
        <f>F274+F278</f>
        <v>7000000</v>
      </c>
      <c r="G270" s="328">
        <f>G274+G278</f>
        <v>0</v>
      </c>
      <c r="H270" s="328">
        <f t="shared" si="41"/>
        <v>7000000</v>
      </c>
      <c r="I270" s="71"/>
      <c r="J270" s="71"/>
      <c r="K270" s="71"/>
      <c r="L270" s="71"/>
    </row>
    <row r="271" spans="1:12" s="26" customFormat="1" ht="15" customHeight="1" x14ac:dyDescent="0.2">
      <c r="A271" s="1616"/>
      <c r="B271" s="1616"/>
      <c r="C271" s="1616"/>
      <c r="D271" s="1616"/>
      <c r="E271" s="321" t="s">
        <v>255</v>
      </c>
      <c r="F271" s="328">
        <f t="shared" ref="F271:G272" si="48">F275+F279</f>
        <v>7275087</v>
      </c>
      <c r="G271" s="328">
        <f t="shared" si="48"/>
        <v>0</v>
      </c>
      <c r="H271" s="328">
        <f t="shared" si="41"/>
        <v>7275087</v>
      </c>
      <c r="I271" s="71"/>
      <c r="J271" s="71"/>
      <c r="K271" s="71"/>
      <c r="L271" s="71"/>
    </row>
    <row r="272" spans="1:12" s="26" customFormat="1" ht="15" customHeight="1" x14ac:dyDescent="0.2">
      <c r="A272" s="1616"/>
      <c r="B272" s="1616"/>
      <c r="C272" s="1616"/>
      <c r="D272" s="1616"/>
      <c r="E272" s="321" t="s">
        <v>256</v>
      </c>
      <c r="F272" s="328">
        <f t="shared" si="48"/>
        <v>7005068</v>
      </c>
      <c r="G272" s="328">
        <f t="shared" si="48"/>
        <v>0</v>
      </c>
      <c r="H272" s="328">
        <f t="shared" si="41"/>
        <v>7005068</v>
      </c>
      <c r="I272" s="71"/>
      <c r="J272" s="71"/>
      <c r="K272" s="71"/>
      <c r="L272" s="71"/>
    </row>
    <row r="273" spans="1:12" s="26" customFormat="1" ht="15" customHeight="1" x14ac:dyDescent="0.2">
      <c r="A273" s="1616"/>
      <c r="B273" s="1616"/>
      <c r="C273" s="1616"/>
      <c r="D273" s="1616" t="s">
        <v>54</v>
      </c>
      <c r="E273" s="337" t="s">
        <v>65</v>
      </c>
      <c r="F273" s="328"/>
      <c r="G273" s="328"/>
      <c r="H273" s="328"/>
      <c r="I273" s="71"/>
      <c r="J273" s="71"/>
      <c r="K273" s="71"/>
      <c r="L273" s="71"/>
    </row>
    <row r="274" spans="1:12" s="26" customFormat="1" ht="15" customHeight="1" x14ac:dyDescent="0.2">
      <c r="A274" s="1616"/>
      <c r="B274" s="1616"/>
      <c r="C274" s="1616"/>
      <c r="D274" s="1616"/>
      <c r="E274" s="321" t="s">
        <v>254</v>
      </c>
      <c r="F274" s="328">
        <f>F286+F298+F310</f>
        <v>7000000</v>
      </c>
      <c r="G274" s="328">
        <f>G286+G298+G310</f>
        <v>0</v>
      </c>
      <c r="H274" s="328">
        <f t="shared" si="41"/>
        <v>7000000</v>
      </c>
      <c r="I274" s="71"/>
      <c r="J274" s="71"/>
      <c r="K274" s="71"/>
      <c r="L274" s="71"/>
    </row>
    <row r="275" spans="1:12" s="26" customFormat="1" ht="15" customHeight="1" x14ac:dyDescent="0.2">
      <c r="A275" s="1616"/>
      <c r="B275" s="1616"/>
      <c r="C275" s="1616"/>
      <c r="D275" s="1616"/>
      <c r="E275" s="321" t="s">
        <v>255</v>
      </c>
      <c r="F275" s="328">
        <f t="shared" ref="F275:G276" si="49">F287+F299+F311</f>
        <v>7275087</v>
      </c>
      <c r="G275" s="328">
        <f t="shared" si="49"/>
        <v>0</v>
      </c>
      <c r="H275" s="328">
        <f t="shared" si="41"/>
        <v>7275087</v>
      </c>
      <c r="I275" s="71"/>
      <c r="J275" s="71"/>
      <c r="K275" s="71"/>
      <c r="L275" s="71"/>
    </row>
    <row r="276" spans="1:12" s="26" customFormat="1" ht="15" customHeight="1" x14ac:dyDescent="0.2">
      <c r="A276" s="1616"/>
      <c r="B276" s="1616"/>
      <c r="C276" s="1616"/>
      <c r="D276" s="1616"/>
      <c r="E276" s="321" t="s">
        <v>256</v>
      </c>
      <c r="F276" s="328">
        <f t="shared" si="49"/>
        <v>7005068</v>
      </c>
      <c r="G276" s="328">
        <f t="shared" si="49"/>
        <v>0</v>
      </c>
      <c r="H276" s="328">
        <f t="shared" si="41"/>
        <v>7005068</v>
      </c>
      <c r="I276" s="71"/>
      <c r="J276" s="71"/>
      <c r="K276" s="71"/>
      <c r="L276" s="71"/>
    </row>
    <row r="277" spans="1:12" s="26" customFormat="1" ht="15" customHeight="1" x14ac:dyDescent="0.2">
      <c r="A277" s="1616"/>
      <c r="B277" s="1616"/>
      <c r="C277" s="1616"/>
      <c r="D277" s="1616" t="s">
        <v>55</v>
      </c>
      <c r="E277" s="338" t="s">
        <v>66</v>
      </c>
      <c r="F277" s="328"/>
      <c r="G277" s="328"/>
      <c r="H277" s="328"/>
      <c r="I277" s="71"/>
      <c r="J277" s="71"/>
      <c r="K277" s="71"/>
      <c r="L277" s="71"/>
    </row>
    <row r="278" spans="1:12" s="26" customFormat="1" ht="15" customHeight="1" x14ac:dyDescent="0.2">
      <c r="A278" s="1616"/>
      <c r="B278" s="1616"/>
      <c r="C278" s="1616"/>
      <c r="D278" s="1616"/>
      <c r="E278" s="321" t="s">
        <v>254</v>
      </c>
      <c r="F278" s="328">
        <f>F290+F302+F314</f>
        <v>0</v>
      </c>
      <c r="G278" s="328">
        <f>G290+G302+G314</f>
        <v>0</v>
      </c>
      <c r="H278" s="328">
        <f t="shared" si="41"/>
        <v>0</v>
      </c>
      <c r="I278" s="71"/>
      <c r="J278" s="71"/>
      <c r="K278" s="71"/>
      <c r="L278" s="71"/>
    </row>
    <row r="279" spans="1:12" s="26" customFormat="1" ht="15" customHeight="1" x14ac:dyDescent="0.2">
      <c r="A279" s="1616"/>
      <c r="B279" s="1616"/>
      <c r="C279" s="1616"/>
      <c r="D279" s="1616"/>
      <c r="E279" s="321" t="s">
        <v>255</v>
      </c>
      <c r="F279" s="328">
        <f t="shared" ref="F279:F280" si="50">F291+F303+F315</f>
        <v>0</v>
      </c>
      <c r="G279" s="328">
        <f t="shared" ref="G279" si="51">G291+G303+G315</f>
        <v>0</v>
      </c>
      <c r="H279" s="328">
        <f t="shared" si="41"/>
        <v>0</v>
      </c>
      <c r="I279" s="71"/>
      <c r="J279" s="71"/>
      <c r="K279" s="71"/>
      <c r="L279" s="71"/>
    </row>
    <row r="280" spans="1:12" s="26" customFormat="1" ht="15" customHeight="1" x14ac:dyDescent="0.2">
      <c r="A280" s="1616"/>
      <c r="B280" s="1616"/>
      <c r="C280" s="1616"/>
      <c r="D280" s="1616"/>
      <c r="E280" s="321" t="s">
        <v>256</v>
      </c>
      <c r="F280" s="328">
        <f t="shared" si="50"/>
        <v>0</v>
      </c>
      <c r="G280" s="328">
        <f t="shared" ref="G280" si="52">G292+G304+G316</f>
        <v>0</v>
      </c>
      <c r="H280" s="328">
        <f t="shared" si="41"/>
        <v>0</v>
      </c>
      <c r="I280" s="71"/>
      <c r="J280" s="71"/>
      <c r="K280" s="71"/>
      <c r="L280" s="71"/>
    </row>
    <row r="281" spans="1:12" s="26" customFormat="1" ht="15" customHeight="1" x14ac:dyDescent="0.2">
      <c r="A281" s="1589"/>
      <c r="B281" s="1590"/>
      <c r="C281" s="1591"/>
      <c r="D281" s="1585"/>
      <c r="E281" s="340" t="s">
        <v>207</v>
      </c>
      <c r="F281" s="329"/>
      <c r="G281" s="329"/>
      <c r="H281" s="329"/>
      <c r="I281" s="71"/>
      <c r="J281" s="71"/>
      <c r="K281" s="71"/>
      <c r="L281" s="71"/>
    </row>
    <row r="282" spans="1:12" s="26" customFormat="1" ht="15" customHeight="1" x14ac:dyDescent="0.2">
      <c r="A282" s="1592"/>
      <c r="B282" s="1593"/>
      <c r="C282" s="1594"/>
      <c r="D282" s="1585"/>
      <c r="E282" s="322" t="s">
        <v>254</v>
      </c>
      <c r="F282" s="329">
        <f>F286+F290</f>
        <v>0</v>
      </c>
      <c r="G282" s="329">
        <f>G286+G290</f>
        <v>0</v>
      </c>
      <c r="H282" s="329">
        <f t="shared" si="41"/>
        <v>0</v>
      </c>
      <c r="I282" s="71"/>
      <c r="J282" s="71"/>
      <c r="K282" s="71"/>
      <c r="L282" s="71"/>
    </row>
    <row r="283" spans="1:12" s="26" customFormat="1" ht="15" customHeight="1" x14ac:dyDescent="0.2">
      <c r="A283" s="1592"/>
      <c r="B283" s="1593"/>
      <c r="C283" s="1594"/>
      <c r="D283" s="1585"/>
      <c r="E283" s="322" t="s">
        <v>255</v>
      </c>
      <c r="F283" s="329">
        <f t="shared" ref="F283:F284" si="53">F287+F291</f>
        <v>0</v>
      </c>
      <c r="G283" s="329">
        <f t="shared" ref="G283:G284" si="54">G287+G291</f>
        <v>0</v>
      </c>
      <c r="H283" s="329">
        <f t="shared" si="41"/>
        <v>0</v>
      </c>
      <c r="I283" s="71"/>
      <c r="J283" s="71"/>
      <c r="K283" s="71"/>
      <c r="L283" s="71"/>
    </row>
    <row r="284" spans="1:12" s="26" customFormat="1" ht="15" customHeight="1" x14ac:dyDescent="0.2">
      <c r="A284" s="1592"/>
      <c r="B284" s="1593"/>
      <c r="C284" s="1594"/>
      <c r="D284" s="1585"/>
      <c r="E284" s="322" t="s">
        <v>256</v>
      </c>
      <c r="F284" s="329">
        <f t="shared" si="53"/>
        <v>0</v>
      </c>
      <c r="G284" s="329">
        <f t="shared" si="54"/>
        <v>0</v>
      </c>
      <c r="H284" s="329">
        <f t="shared" si="41"/>
        <v>0</v>
      </c>
      <c r="I284" s="71"/>
      <c r="J284" s="71"/>
      <c r="K284" s="71"/>
      <c r="L284" s="71"/>
    </row>
    <row r="285" spans="1:12" s="26" customFormat="1" ht="15" customHeight="1" x14ac:dyDescent="0.2">
      <c r="A285" s="1592"/>
      <c r="B285" s="1593"/>
      <c r="C285" s="1594"/>
      <c r="D285" s="1585" t="s">
        <v>54</v>
      </c>
      <c r="E285" s="671" t="s">
        <v>65</v>
      </c>
      <c r="F285" s="329"/>
      <c r="G285" s="329"/>
      <c r="H285" s="329"/>
      <c r="I285" s="71"/>
      <c r="J285" s="71"/>
      <c r="K285" s="71"/>
      <c r="L285" s="71"/>
    </row>
    <row r="286" spans="1:12" s="26" customFormat="1" ht="15" customHeight="1" x14ac:dyDescent="0.2">
      <c r="A286" s="1592"/>
      <c r="B286" s="1593"/>
      <c r="C286" s="1594"/>
      <c r="D286" s="1585"/>
      <c r="E286" s="322" t="s">
        <v>254</v>
      </c>
      <c r="F286" s="329"/>
      <c r="G286" s="329"/>
      <c r="H286" s="329">
        <f t="shared" si="41"/>
        <v>0</v>
      </c>
      <c r="I286" s="71"/>
      <c r="J286" s="71"/>
      <c r="K286" s="71"/>
      <c r="L286" s="71"/>
    </row>
    <row r="287" spans="1:12" s="26" customFormat="1" ht="15" customHeight="1" x14ac:dyDescent="0.2">
      <c r="A287" s="1592"/>
      <c r="B287" s="1593"/>
      <c r="C287" s="1594"/>
      <c r="D287" s="1585"/>
      <c r="E287" s="322" t="s">
        <v>255</v>
      </c>
      <c r="F287" s="329"/>
      <c r="G287" s="329"/>
      <c r="H287" s="329">
        <f t="shared" si="41"/>
        <v>0</v>
      </c>
      <c r="I287" s="71"/>
      <c r="J287" s="71"/>
      <c r="K287" s="71"/>
      <c r="L287" s="71"/>
    </row>
    <row r="288" spans="1:12" s="26" customFormat="1" ht="15" customHeight="1" x14ac:dyDescent="0.2">
      <c r="A288" s="1592"/>
      <c r="B288" s="1593"/>
      <c r="C288" s="1594"/>
      <c r="D288" s="1585"/>
      <c r="E288" s="322" t="s">
        <v>256</v>
      </c>
      <c r="F288" s="329"/>
      <c r="G288" s="329"/>
      <c r="H288" s="329">
        <f t="shared" si="41"/>
        <v>0</v>
      </c>
      <c r="I288" s="71"/>
      <c r="J288" s="71"/>
      <c r="K288" s="71"/>
      <c r="L288" s="71"/>
    </row>
    <row r="289" spans="1:12" s="26" customFormat="1" ht="15" customHeight="1" x14ac:dyDescent="0.2">
      <c r="A289" s="1592"/>
      <c r="B289" s="1593"/>
      <c r="C289" s="1594"/>
      <c r="D289" s="1585" t="s">
        <v>55</v>
      </c>
      <c r="E289" s="156" t="s">
        <v>66</v>
      </c>
      <c r="F289" s="329"/>
      <c r="G289" s="329"/>
      <c r="H289" s="329"/>
      <c r="I289" s="71"/>
      <c r="J289" s="71"/>
      <c r="K289" s="71"/>
      <c r="L289" s="71"/>
    </row>
    <row r="290" spans="1:12" s="26" customFormat="1" ht="15" customHeight="1" x14ac:dyDescent="0.2">
      <c r="A290" s="1592"/>
      <c r="B290" s="1593"/>
      <c r="C290" s="1594"/>
      <c r="D290" s="1585"/>
      <c r="E290" s="322" t="s">
        <v>254</v>
      </c>
      <c r="F290" s="329"/>
      <c r="G290" s="329"/>
      <c r="H290" s="329">
        <f t="shared" si="41"/>
        <v>0</v>
      </c>
      <c r="I290" s="71"/>
      <c r="J290" s="71"/>
      <c r="K290" s="71"/>
      <c r="L290" s="71"/>
    </row>
    <row r="291" spans="1:12" s="26" customFormat="1" ht="15" customHeight="1" x14ac:dyDescent="0.2">
      <c r="A291" s="1592"/>
      <c r="B291" s="1593"/>
      <c r="C291" s="1594"/>
      <c r="D291" s="1585"/>
      <c r="E291" s="322" t="s">
        <v>255</v>
      </c>
      <c r="F291" s="329"/>
      <c r="G291" s="329"/>
      <c r="H291" s="329">
        <f t="shared" si="41"/>
        <v>0</v>
      </c>
      <c r="I291" s="71"/>
      <c r="J291" s="71"/>
      <c r="K291" s="71"/>
      <c r="L291" s="71"/>
    </row>
    <row r="292" spans="1:12" s="26" customFormat="1" ht="15" customHeight="1" x14ac:dyDescent="0.2">
      <c r="A292" s="1592"/>
      <c r="B292" s="1593"/>
      <c r="C292" s="1594"/>
      <c r="D292" s="1585"/>
      <c r="E292" s="322" t="s">
        <v>256</v>
      </c>
      <c r="F292" s="329"/>
      <c r="G292" s="329"/>
      <c r="H292" s="329">
        <f t="shared" si="41"/>
        <v>0</v>
      </c>
      <c r="I292" s="71"/>
      <c r="J292" s="71"/>
      <c r="K292" s="71"/>
      <c r="L292" s="71"/>
    </row>
    <row r="293" spans="1:12" s="26" customFormat="1" ht="15" customHeight="1" x14ac:dyDescent="0.2">
      <c r="A293" s="1592"/>
      <c r="B293" s="1593"/>
      <c r="C293" s="1594"/>
      <c r="D293" s="1585"/>
      <c r="E293" s="340" t="s">
        <v>188</v>
      </c>
      <c r="F293" s="329"/>
      <c r="G293" s="329"/>
      <c r="H293" s="329"/>
      <c r="I293" s="71"/>
      <c r="J293" s="71"/>
      <c r="K293" s="71"/>
      <c r="L293" s="71"/>
    </row>
    <row r="294" spans="1:12" s="26" customFormat="1" ht="15" customHeight="1" x14ac:dyDescent="0.2">
      <c r="A294" s="1592"/>
      <c r="B294" s="1593"/>
      <c r="C294" s="1594"/>
      <c r="D294" s="1585"/>
      <c r="E294" s="322" t="s">
        <v>254</v>
      </c>
      <c r="F294" s="335">
        <f>F298+F302</f>
        <v>7000000</v>
      </c>
      <c r="G294" s="335">
        <f>G298+G302</f>
        <v>0</v>
      </c>
      <c r="H294" s="329">
        <f>G294</f>
        <v>0</v>
      </c>
      <c r="I294" s="71"/>
      <c r="J294" s="71"/>
      <c r="K294" s="71"/>
      <c r="L294" s="71"/>
    </row>
    <row r="295" spans="1:12" s="26" customFormat="1" ht="15" customHeight="1" x14ac:dyDescent="0.2">
      <c r="A295" s="1592"/>
      <c r="B295" s="1593"/>
      <c r="C295" s="1594"/>
      <c r="D295" s="1585"/>
      <c r="E295" s="322" t="s">
        <v>255</v>
      </c>
      <c r="F295" s="335">
        <f t="shared" ref="F295:G296" si="55">F299+F303</f>
        <v>7275087</v>
      </c>
      <c r="G295" s="335">
        <f t="shared" si="55"/>
        <v>0</v>
      </c>
      <c r="H295" s="329">
        <f t="shared" si="41"/>
        <v>7275087</v>
      </c>
      <c r="I295" s="71"/>
      <c r="J295" s="71"/>
      <c r="K295" s="71"/>
      <c r="L295" s="71"/>
    </row>
    <row r="296" spans="1:12" s="26" customFormat="1" ht="15" customHeight="1" x14ac:dyDescent="0.2">
      <c r="A296" s="1592"/>
      <c r="B296" s="1593"/>
      <c r="C296" s="1594"/>
      <c r="D296" s="1585"/>
      <c r="E296" s="322" t="s">
        <v>256</v>
      </c>
      <c r="F296" s="335">
        <f t="shared" si="55"/>
        <v>7005068</v>
      </c>
      <c r="G296" s="335">
        <f t="shared" si="55"/>
        <v>0</v>
      </c>
      <c r="H296" s="329">
        <f t="shared" si="41"/>
        <v>7005068</v>
      </c>
      <c r="I296" s="71"/>
      <c r="J296" s="71"/>
      <c r="K296" s="71"/>
      <c r="L296" s="71"/>
    </row>
    <row r="297" spans="1:12" s="26" customFormat="1" ht="15" customHeight="1" x14ac:dyDescent="0.2">
      <c r="A297" s="1592"/>
      <c r="B297" s="1593"/>
      <c r="C297" s="1594"/>
      <c r="D297" s="1585" t="s">
        <v>54</v>
      </c>
      <c r="E297" s="671" t="s">
        <v>65</v>
      </c>
      <c r="F297" s="329"/>
      <c r="G297" s="329"/>
      <c r="H297" s="329"/>
      <c r="I297" s="71"/>
      <c r="J297" s="71"/>
      <c r="K297" s="71"/>
      <c r="L297" s="71"/>
    </row>
    <row r="298" spans="1:12" s="26" customFormat="1" ht="15" customHeight="1" x14ac:dyDescent="0.2">
      <c r="A298" s="1592"/>
      <c r="B298" s="1593"/>
      <c r="C298" s="1594"/>
      <c r="D298" s="1585"/>
      <c r="E298" s="322" t="s">
        <v>254</v>
      </c>
      <c r="F298" s="329">
        <v>7000000</v>
      </c>
      <c r="G298" s="329"/>
      <c r="H298" s="329">
        <f t="shared" si="41"/>
        <v>7000000</v>
      </c>
      <c r="I298" s="71"/>
      <c r="J298" s="71"/>
      <c r="K298" s="71"/>
      <c r="L298" s="71"/>
    </row>
    <row r="299" spans="1:12" s="26" customFormat="1" ht="15" customHeight="1" x14ac:dyDescent="0.2">
      <c r="A299" s="1592"/>
      <c r="B299" s="1593"/>
      <c r="C299" s="1594"/>
      <c r="D299" s="1585"/>
      <c r="E299" s="322" t="s">
        <v>255</v>
      </c>
      <c r="F299" s="329">
        <v>7275087</v>
      </c>
      <c r="G299" s="329"/>
      <c r="H299" s="329">
        <f t="shared" si="41"/>
        <v>7275087</v>
      </c>
      <c r="I299" s="71"/>
      <c r="J299" s="71"/>
      <c r="K299" s="71"/>
      <c r="L299" s="71"/>
    </row>
    <row r="300" spans="1:12" s="26" customFormat="1" ht="15" customHeight="1" x14ac:dyDescent="0.2">
      <c r="A300" s="1592"/>
      <c r="B300" s="1593"/>
      <c r="C300" s="1594"/>
      <c r="D300" s="1585"/>
      <c r="E300" s="322" t="s">
        <v>256</v>
      </c>
      <c r="F300" s="329">
        <v>7005068</v>
      </c>
      <c r="G300" s="329"/>
      <c r="H300" s="329">
        <f t="shared" si="41"/>
        <v>7005068</v>
      </c>
      <c r="I300" s="71"/>
      <c r="J300" s="71"/>
      <c r="K300" s="71"/>
      <c r="L300" s="71"/>
    </row>
    <row r="301" spans="1:12" s="26" customFormat="1" ht="15" customHeight="1" x14ac:dyDescent="0.2">
      <c r="A301" s="1592"/>
      <c r="B301" s="1593"/>
      <c r="C301" s="1594"/>
      <c r="D301" s="1585" t="s">
        <v>55</v>
      </c>
      <c r="E301" s="156" t="s">
        <v>66</v>
      </c>
      <c r="F301" s="329"/>
      <c r="G301" s="329"/>
      <c r="H301" s="329">
        <f t="shared" si="41"/>
        <v>0</v>
      </c>
      <c r="I301" s="71"/>
      <c r="J301" s="71"/>
      <c r="K301" s="71"/>
      <c r="L301" s="71"/>
    </row>
    <row r="302" spans="1:12" s="26" customFormat="1" ht="15" customHeight="1" x14ac:dyDescent="0.2">
      <c r="A302" s="1592"/>
      <c r="B302" s="1593"/>
      <c r="C302" s="1594"/>
      <c r="D302" s="1585"/>
      <c r="E302" s="322" t="s">
        <v>254</v>
      </c>
      <c r="F302" s="329">
        <v>0</v>
      </c>
      <c r="G302" s="329"/>
      <c r="H302" s="329">
        <f t="shared" si="41"/>
        <v>0</v>
      </c>
      <c r="I302" s="71"/>
      <c r="J302" s="71"/>
      <c r="K302" s="71"/>
      <c r="L302" s="71"/>
    </row>
    <row r="303" spans="1:12" s="26" customFormat="1" ht="15" customHeight="1" x14ac:dyDescent="0.2">
      <c r="A303" s="1592"/>
      <c r="B303" s="1593"/>
      <c r="C303" s="1594"/>
      <c r="D303" s="1585"/>
      <c r="E303" s="322" t="s">
        <v>255</v>
      </c>
      <c r="F303" s="329">
        <v>0</v>
      </c>
      <c r="G303" s="329"/>
      <c r="H303" s="329">
        <f t="shared" si="41"/>
        <v>0</v>
      </c>
      <c r="I303" s="71"/>
      <c r="J303" s="71"/>
      <c r="K303" s="71"/>
      <c r="L303" s="71"/>
    </row>
    <row r="304" spans="1:12" s="26" customFormat="1" ht="15" customHeight="1" x14ac:dyDescent="0.2">
      <c r="A304" s="1592"/>
      <c r="B304" s="1593"/>
      <c r="C304" s="1594"/>
      <c r="D304" s="1585"/>
      <c r="E304" s="322" t="s">
        <v>256</v>
      </c>
      <c r="F304" s="329">
        <v>0</v>
      </c>
      <c r="G304" s="329"/>
      <c r="H304" s="329">
        <f t="shared" si="41"/>
        <v>0</v>
      </c>
      <c r="I304" s="71"/>
      <c r="J304" s="71"/>
      <c r="K304" s="71"/>
      <c r="L304" s="71"/>
    </row>
    <row r="305" spans="1:12" s="26" customFormat="1" ht="15" customHeight="1" x14ac:dyDescent="0.2">
      <c r="A305" s="1592"/>
      <c r="B305" s="1593"/>
      <c r="C305" s="1594"/>
      <c r="D305" s="1585"/>
      <c r="E305" s="340" t="s">
        <v>189</v>
      </c>
      <c r="F305" s="329"/>
      <c r="G305" s="329"/>
      <c r="H305" s="329"/>
      <c r="I305" s="71"/>
      <c r="J305" s="71"/>
      <c r="K305" s="71"/>
      <c r="L305" s="71"/>
    </row>
    <row r="306" spans="1:12" s="26" customFormat="1" ht="15" customHeight="1" x14ac:dyDescent="0.2">
      <c r="A306" s="1592"/>
      <c r="B306" s="1593"/>
      <c r="C306" s="1594"/>
      <c r="D306" s="1585"/>
      <c r="E306" s="322" t="s">
        <v>254</v>
      </c>
      <c r="F306" s="329">
        <f>F310+F314</f>
        <v>0</v>
      </c>
      <c r="G306" s="329">
        <f>G310+G314</f>
        <v>0</v>
      </c>
      <c r="H306" s="329">
        <f t="shared" si="41"/>
        <v>0</v>
      </c>
      <c r="I306" s="71"/>
      <c r="J306" s="71"/>
      <c r="K306" s="71"/>
      <c r="L306" s="71"/>
    </row>
    <row r="307" spans="1:12" s="26" customFormat="1" ht="15" customHeight="1" x14ac:dyDescent="0.2">
      <c r="A307" s="1592"/>
      <c r="B307" s="1593"/>
      <c r="C307" s="1594"/>
      <c r="D307" s="1585"/>
      <c r="E307" s="322" t="s">
        <v>255</v>
      </c>
      <c r="F307" s="329">
        <f t="shared" ref="F307:G308" si="56">F311+F315</f>
        <v>0</v>
      </c>
      <c r="G307" s="329">
        <f t="shared" si="56"/>
        <v>0</v>
      </c>
      <c r="H307" s="329">
        <f t="shared" si="41"/>
        <v>0</v>
      </c>
      <c r="I307" s="71"/>
      <c r="J307" s="71"/>
      <c r="K307" s="71"/>
      <c r="L307" s="71"/>
    </row>
    <row r="308" spans="1:12" s="26" customFormat="1" ht="15" customHeight="1" x14ac:dyDescent="0.2">
      <c r="A308" s="1592"/>
      <c r="B308" s="1593"/>
      <c r="C308" s="1594"/>
      <c r="D308" s="1585"/>
      <c r="E308" s="322" t="s">
        <v>256</v>
      </c>
      <c r="F308" s="329">
        <f t="shared" si="56"/>
        <v>0</v>
      </c>
      <c r="G308" s="329">
        <f t="shared" si="56"/>
        <v>0</v>
      </c>
      <c r="H308" s="329">
        <f t="shared" si="41"/>
        <v>0</v>
      </c>
      <c r="I308" s="71"/>
      <c r="J308" s="71"/>
      <c r="K308" s="71"/>
      <c r="L308" s="71"/>
    </row>
    <row r="309" spans="1:12" s="26" customFormat="1" ht="15" customHeight="1" x14ac:dyDescent="0.2">
      <c r="A309" s="1592"/>
      <c r="B309" s="1593"/>
      <c r="C309" s="1594"/>
      <c r="D309" s="1585" t="s">
        <v>54</v>
      </c>
      <c r="E309" s="671" t="s">
        <v>65</v>
      </c>
      <c r="F309" s="329"/>
      <c r="G309" s="329"/>
      <c r="H309" s="329"/>
      <c r="I309" s="71"/>
      <c r="J309" s="71"/>
      <c r="K309" s="71"/>
      <c r="L309" s="71"/>
    </row>
    <row r="310" spans="1:12" s="26" customFormat="1" ht="15" customHeight="1" x14ac:dyDescent="0.2">
      <c r="A310" s="1592"/>
      <c r="B310" s="1593"/>
      <c r="C310" s="1594"/>
      <c r="D310" s="1585"/>
      <c r="E310" s="322" t="s">
        <v>254</v>
      </c>
      <c r="F310" s="329"/>
      <c r="G310" s="329"/>
      <c r="H310" s="329">
        <f t="shared" si="41"/>
        <v>0</v>
      </c>
      <c r="I310" s="71"/>
      <c r="J310" s="71"/>
      <c r="K310" s="71"/>
      <c r="L310" s="71"/>
    </row>
    <row r="311" spans="1:12" s="26" customFormat="1" ht="15" customHeight="1" x14ac:dyDescent="0.2">
      <c r="A311" s="1592"/>
      <c r="B311" s="1593"/>
      <c r="C311" s="1594"/>
      <c r="D311" s="1585"/>
      <c r="E311" s="322" t="s">
        <v>255</v>
      </c>
      <c r="F311" s="329"/>
      <c r="G311" s="329"/>
      <c r="H311" s="329">
        <f t="shared" si="41"/>
        <v>0</v>
      </c>
      <c r="I311" s="71"/>
      <c r="J311" s="71"/>
      <c r="K311" s="71"/>
      <c r="L311" s="71"/>
    </row>
    <row r="312" spans="1:12" s="26" customFormat="1" ht="15" customHeight="1" x14ac:dyDescent="0.2">
      <c r="A312" s="1592"/>
      <c r="B312" s="1593"/>
      <c r="C312" s="1594"/>
      <c r="D312" s="1585"/>
      <c r="E312" s="322" t="s">
        <v>256</v>
      </c>
      <c r="F312" s="329"/>
      <c r="G312" s="329"/>
      <c r="H312" s="329">
        <f t="shared" si="41"/>
        <v>0</v>
      </c>
      <c r="I312" s="71"/>
      <c r="J312" s="71"/>
      <c r="K312" s="71"/>
      <c r="L312" s="71"/>
    </row>
    <row r="313" spans="1:12" s="26" customFormat="1" ht="15" customHeight="1" x14ac:dyDescent="0.2">
      <c r="A313" s="1592"/>
      <c r="B313" s="1593"/>
      <c r="C313" s="1594"/>
      <c r="D313" s="1585" t="s">
        <v>55</v>
      </c>
      <c r="E313" s="156" t="s">
        <v>66</v>
      </c>
      <c r="F313" s="329"/>
      <c r="G313" s="329"/>
      <c r="H313" s="329"/>
      <c r="I313" s="71"/>
      <c r="J313" s="71"/>
      <c r="K313" s="71"/>
      <c r="L313" s="71"/>
    </row>
    <row r="314" spans="1:12" s="26" customFormat="1" ht="15" customHeight="1" x14ac:dyDescent="0.2">
      <c r="A314" s="1592"/>
      <c r="B314" s="1593"/>
      <c r="C314" s="1594"/>
      <c r="D314" s="1585"/>
      <c r="E314" s="322" t="s">
        <v>254</v>
      </c>
      <c r="F314" s="329"/>
      <c r="G314" s="329"/>
      <c r="H314" s="329">
        <f t="shared" si="41"/>
        <v>0</v>
      </c>
      <c r="I314" s="71"/>
      <c r="J314" s="71"/>
      <c r="K314" s="71"/>
      <c r="L314" s="71"/>
    </row>
    <row r="315" spans="1:12" s="26" customFormat="1" ht="15" customHeight="1" x14ac:dyDescent="0.2">
      <c r="A315" s="1592"/>
      <c r="B315" s="1593"/>
      <c r="C315" s="1594"/>
      <c r="D315" s="1585"/>
      <c r="E315" s="322" t="s">
        <v>255</v>
      </c>
      <c r="F315" s="329"/>
      <c r="G315" s="329"/>
      <c r="H315" s="329">
        <f t="shared" si="41"/>
        <v>0</v>
      </c>
      <c r="I315" s="71"/>
      <c r="J315" s="71"/>
      <c r="K315" s="71"/>
      <c r="L315" s="71"/>
    </row>
    <row r="316" spans="1:12" s="26" customFormat="1" ht="15" customHeight="1" x14ac:dyDescent="0.2">
      <c r="A316" s="1595"/>
      <c r="B316" s="1596"/>
      <c r="C316" s="1597"/>
      <c r="D316" s="1585"/>
      <c r="E316" s="322" t="s">
        <v>256</v>
      </c>
      <c r="F316" s="329"/>
      <c r="G316" s="329"/>
      <c r="H316" s="329">
        <f t="shared" si="41"/>
        <v>0</v>
      </c>
      <c r="I316" s="71"/>
      <c r="J316" s="71"/>
      <c r="K316" s="71"/>
      <c r="L316" s="71"/>
    </row>
    <row r="317" spans="1:12" s="26" customFormat="1" ht="15" customHeight="1" x14ac:dyDescent="0.2">
      <c r="A317" s="1616">
        <v>6</v>
      </c>
      <c r="B317" s="1616"/>
      <c r="C317" s="1616" t="s">
        <v>171</v>
      </c>
      <c r="D317" s="1616"/>
      <c r="E317" s="339" t="s">
        <v>173</v>
      </c>
      <c r="F317" s="328"/>
      <c r="G317" s="328"/>
      <c r="H317" s="328">
        <f t="shared" si="41"/>
        <v>0</v>
      </c>
      <c r="I317" s="71"/>
      <c r="J317" s="71"/>
      <c r="K317" s="71"/>
      <c r="L317" s="71"/>
    </row>
    <row r="318" spans="1:12" s="26" customFormat="1" ht="15" customHeight="1" x14ac:dyDescent="0.2">
      <c r="A318" s="1616"/>
      <c r="B318" s="1616"/>
      <c r="C318" s="1616"/>
      <c r="D318" s="1616"/>
      <c r="E318" s="321" t="s">
        <v>254</v>
      </c>
      <c r="F318" s="328">
        <f>F322+F326</f>
        <v>2510000</v>
      </c>
      <c r="G318" s="328">
        <f>G322+G326</f>
        <v>0</v>
      </c>
      <c r="H318" s="328">
        <f t="shared" si="41"/>
        <v>2510000</v>
      </c>
      <c r="I318" s="71"/>
      <c r="J318" s="71"/>
      <c r="K318" s="71"/>
      <c r="L318" s="71"/>
    </row>
    <row r="319" spans="1:12" s="26" customFormat="1" ht="15" customHeight="1" x14ac:dyDescent="0.2">
      <c r="A319" s="1616"/>
      <c r="B319" s="1616"/>
      <c r="C319" s="1616"/>
      <c r="D319" s="1616"/>
      <c r="E319" s="321" t="s">
        <v>255</v>
      </c>
      <c r="F319" s="328">
        <f t="shared" ref="F319:G320" si="57">F323+F327</f>
        <v>2633308</v>
      </c>
      <c r="G319" s="328">
        <f t="shared" si="57"/>
        <v>0</v>
      </c>
      <c r="H319" s="328">
        <f t="shared" si="41"/>
        <v>2633308</v>
      </c>
      <c r="I319" s="71"/>
      <c r="J319" s="71"/>
      <c r="K319" s="71"/>
      <c r="L319" s="71"/>
    </row>
    <row r="320" spans="1:12" s="26" customFormat="1" ht="15" customHeight="1" x14ac:dyDescent="0.2">
      <c r="A320" s="1616"/>
      <c r="B320" s="1616"/>
      <c r="C320" s="1616"/>
      <c r="D320" s="1616"/>
      <c r="E320" s="321" t="s">
        <v>256</v>
      </c>
      <c r="F320" s="328">
        <f t="shared" si="57"/>
        <v>2192473</v>
      </c>
      <c r="G320" s="328">
        <f t="shared" si="57"/>
        <v>0</v>
      </c>
      <c r="H320" s="328">
        <f t="shared" si="41"/>
        <v>2192473</v>
      </c>
      <c r="I320" s="71"/>
      <c r="J320" s="71"/>
      <c r="K320" s="71"/>
      <c r="L320" s="71"/>
    </row>
    <row r="321" spans="1:12" s="26" customFormat="1" ht="15" customHeight="1" x14ac:dyDescent="0.2">
      <c r="A321" s="1616"/>
      <c r="B321" s="1616"/>
      <c r="C321" s="1616"/>
      <c r="D321" s="1616" t="s">
        <v>54</v>
      </c>
      <c r="E321" s="337" t="s">
        <v>65</v>
      </c>
      <c r="F321" s="328"/>
      <c r="G321" s="328"/>
      <c r="H321" s="328"/>
      <c r="I321" s="71"/>
      <c r="J321" s="71"/>
      <c r="K321" s="71"/>
      <c r="L321" s="71"/>
    </row>
    <row r="322" spans="1:12" s="26" customFormat="1" ht="15" customHeight="1" x14ac:dyDescent="0.2">
      <c r="A322" s="1616"/>
      <c r="B322" s="1616"/>
      <c r="C322" s="1616"/>
      <c r="D322" s="1616"/>
      <c r="E322" s="321" t="s">
        <v>254</v>
      </c>
      <c r="F322" s="328">
        <f>F334+F346+F358</f>
        <v>1970000</v>
      </c>
      <c r="G322" s="328">
        <f>G334+G346+G358</f>
        <v>0</v>
      </c>
      <c r="H322" s="328">
        <f t="shared" si="41"/>
        <v>1970000</v>
      </c>
      <c r="I322" s="71"/>
      <c r="J322" s="71"/>
      <c r="K322" s="71"/>
      <c r="L322" s="71"/>
    </row>
    <row r="323" spans="1:12" s="26" customFormat="1" ht="15" customHeight="1" x14ac:dyDescent="0.2">
      <c r="A323" s="1616"/>
      <c r="B323" s="1616"/>
      <c r="C323" s="1616"/>
      <c r="D323" s="1616"/>
      <c r="E323" s="321" t="s">
        <v>255</v>
      </c>
      <c r="F323" s="328">
        <f t="shared" ref="F323:F324" si="58">F335+F347+F359</f>
        <v>2203308</v>
      </c>
      <c r="G323" s="328">
        <f t="shared" ref="G323:G324" si="59">G335+G347+G359</f>
        <v>0</v>
      </c>
      <c r="H323" s="328">
        <f t="shared" si="41"/>
        <v>2203308</v>
      </c>
      <c r="I323" s="71"/>
      <c r="J323" s="71"/>
      <c r="K323" s="71"/>
      <c r="L323" s="71"/>
    </row>
    <row r="324" spans="1:12" s="26" customFormat="1" ht="15" customHeight="1" x14ac:dyDescent="0.2">
      <c r="A324" s="1616"/>
      <c r="B324" s="1616"/>
      <c r="C324" s="1616"/>
      <c r="D324" s="1616"/>
      <c r="E324" s="321" t="s">
        <v>256</v>
      </c>
      <c r="F324" s="328">
        <f t="shared" si="58"/>
        <v>1882408</v>
      </c>
      <c r="G324" s="328">
        <f t="shared" si="59"/>
        <v>0</v>
      </c>
      <c r="H324" s="328">
        <f t="shared" si="41"/>
        <v>1882408</v>
      </c>
      <c r="I324" s="71"/>
      <c r="J324" s="71"/>
      <c r="K324" s="71"/>
      <c r="L324" s="71"/>
    </row>
    <row r="325" spans="1:12" s="26" customFormat="1" ht="15" customHeight="1" x14ac:dyDescent="0.2">
      <c r="A325" s="1616"/>
      <c r="B325" s="1616"/>
      <c r="C325" s="1616"/>
      <c r="D325" s="1616" t="s">
        <v>55</v>
      </c>
      <c r="E325" s="338" t="s">
        <v>66</v>
      </c>
      <c r="F325" s="328"/>
      <c r="G325" s="328"/>
      <c r="H325" s="328"/>
      <c r="I325" s="71"/>
      <c r="J325" s="71"/>
      <c r="K325" s="71"/>
      <c r="L325" s="71"/>
    </row>
    <row r="326" spans="1:12" s="26" customFormat="1" ht="15" customHeight="1" x14ac:dyDescent="0.2">
      <c r="A326" s="1616"/>
      <c r="B326" s="1616"/>
      <c r="C326" s="1616"/>
      <c r="D326" s="1616"/>
      <c r="E326" s="321" t="s">
        <v>254</v>
      </c>
      <c r="F326" s="328">
        <f>F338+F350+F362</f>
        <v>540000</v>
      </c>
      <c r="G326" s="328">
        <f>G338+G350+G362</f>
        <v>0</v>
      </c>
      <c r="H326" s="328">
        <f t="shared" si="41"/>
        <v>540000</v>
      </c>
      <c r="I326" s="71"/>
      <c r="J326" s="71"/>
      <c r="K326" s="71"/>
      <c r="L326" s="71"/>
    </row>
    <row r="327" spans="1:12" s="26" customFormat="1" ht="15" customHeight="1" x14ac:dyDescent="0.2">
      <c r="A327" s="1616"/>
      <c r="B327" s="1616"/>
      <c r="C327" s="1616"/>
      <c r="D327" s="1616"/>
      <c r="E327" s="321" t="s">
        <v>255</v>
      </c>
      <c r="F327" s="328">
        <f t="shared" ref="F327:G328" si="60">F339+F351+F363</f>
        <v>430000</v>
      </c>
      <c r="G327" s="328">
        <f t="shared" si="60"/>
        <v>0</v>
      </c>
      <c r="H327" s="328">
        <f t="shared" si="41"/>
        <v>430000</v>
      </c>
      <c r="I327" s="71"/>
      <c r="J327" s="71"/>
      <c r="K327" s="71"/>
      <c r="L327" s="71"/>
    </row>
    <row r="328" spans="1:12" s="26" customFormat="1" ht="15" customHeight="1" x14ac:dyDescent="0.2">
      <c r="A328" s="1616"/>
      <c r="B328" s="1616"/>
      <c r="C328" s="1616"/>
      <c r="D328" s="1616"/>
      <c r="E328" s="321" t="s">
        <v>256</v>
      </c>
      <c r="F328" s="328">
        <f t="shared" si="60"/>
        <v>310065</v>
      </c>
      <c r="G328" s="328">
        <f t="shared" si="60"/>
        <v>0</v>
      </c>
      <c r="H328" s="328">
        <f t="shared" si="41"/>
        <v>310065</v>
      </c>
      <c r="I328" s="71"/>
      <c r="J328" s="71"/>
      <c r="K328" s="71"/>
      <c r="L328" s="71"/>
    </row>
    <row r="329" spans="1:12" s="26" customFormat="1" ht="15" customHeight="1" x14ac:dyDescent="0.2">
      <c r="A329" s="1589"/>
      <c r="B329" s="1590"/>
      <c r="C329" s="1591"/>
      <c r="D329" s="1585"/>
      <c r="E329" s="340" t="s">
        <v>207</v>
      </c>
      <c r="F329" s="329"/>
      <c r="G329" s="329"/>
      <c r="H329" s="329">
        <f t="shared" si="41"/>
        <v>0</v>
      </c>
      <c r="I329" s="71"/>
      <c r="J329" s="71"/>
      <c r="K329" s="71"/>
      <c r="L329" s="71"/>
    </row>
    <row r="330" spans="1:12" s="26" customFormat="1" ht="15" customHeight="1" x14ac:dyDescent="0.2">
      <c r="A330" s="1592"/>
      <c r="B330" s="1593"/>
      <c r="C330" s="1594"/>
      <c r="D330" s="1585"/>
      <c r="E330" s="322" t="s">
        <v>254</v>
      </c>
      <c r="F330" s="329">
        <f>F334+F338</f>
        <v>80000</v>
      </c>
      <c r="G330" s="329">
        <f>G334+G338</f>
        <v>0</v>
      </c>
      <c r="H330" s="329">
        <f t="shared" si="41"/>
        <v>80000</v>
      </c>
      <c r="I330" s="71"/>
      <c r="J330" s="71"/>
      <c r="K330" s="71"/>
      <c r="L330" s="71"/>
    </row>
    <row r="331" spans="1:12" s="26" customFormat="1" ht="15" customHeight="1" x14ac:dyDescent="0.2">
      <c r="A331" s="1592"/>
      <c r="B331" s="1593"/>
      <c r="C331" s="1594"/>
      <c r="D331" s="1585"/>
      <c r="E331" s="322" t="s">
        <v>255</v>
      </c>
      <c r="F331" s="329">
        <f t="shared" ref="F331:G332" si="61">F335+F339</f>
        <v>203308</v>
      </c>
      <c r="G331" s="329">
        <f t="shared" si="61"/>
        <v>0</v>
      </c>
      <c r="H331" s="329">
        <f t="shared" si="41"/>
        <v>203308</v>
      </c>
      <c r="I331" s="71"/>
      <c r="J331" s="71"/>
      <c r="K331" s="71"/>
      <c r="L331" s="71"/>
    </row>
    <row r="332" spans="1:12" s="26" customFormat="1" ht="15" customHeight="1" x14ac:dyDescent="0.2">
      <c r="A332" s="1592"/>
      <c r="B332" s="1593"/>
      <c r="C332" s="1594"/>
      <c r="D332" s="1585"/>
      <c r="E332" s="322" t="s">
        <v>256</v>
      </c>
      <c r="F332" s="329">
        <f t="shared" si="61"/>
        <v>81547</v>
      </c>
      <c r="G332" s="329">
        <f t="shared" si="61"/>
        <v>0</v>
      </c>
      <c r="H332" s="329">
        <f t="shared" si="41"/>
        <v>81547</v>
      </c>
      <c r="I332" s="71"/>
      <c r="J332" s="71"/>
      <c r="K332" s="71"/>
      <c r="L332" s="71"/>
    </row>
    <row r="333" spans="1:12" s="26" customFormat="1" ht="15" customHeight="1" x14ac:dyDescent="0.2">
      <c r="A333" s="1592"/>
      <c r="B333" s="1593"/>
      <c r="C333" s="1594"/>
      <c r="D333" s="1585" t="s">
        <v>54</v>
      </c>
      <c r="E333" s="671" t="s">
        <v>65</v>
      </c>
      <c r="F333" s="329"/>
      <c r="G333" s="329"/>
      <c r="H333" s="329"/>
      <c r="I333" s="71"/>
      <c r="J333" s="71"/>
      <c r="K333" s="71"/>
      <c r="L333" s="71"/>
    </row>
    <row r="334" spans="1:12" s="26" customFormat="1" ht="15" customHeight="1" x14ac:dyDescent="0.2">
      <c r="A334" s="1592"/>
      <c r="B334" s="1593"/>
      <c r="C334" s="1594"/>
      <c r="D334" s="1585"/>
      <c r="E334" s="322" t="s">
        <v>254</v>
      </c>
      <c r="F334" s="329">
        <v>80000</v>
      </c>
      <c r="G334" s="329"/>
      <c r="H334" s="329">
        <f t="shared" si="41"/>
        <v>80000</v>
      </c>
      <c r="I334" s="71"/>
      <c r="J334" s="71"/>
      <c r="K334" s="71"/>
      <c r="L334" s="71"/>
    </row>
    <row r="335" spans="1:12" s="26" customFormat="1" ht="15" customHeight="1" x14ac:dyDescent="0.2">
      <c r="A335" s="1592"/>
      <c r="B335" s="1593"/>
      <c r="C335" s="1594"/>
      <c r="D335" s="1585"/>
      <c r="E335" s="322" t="s">
        <v>255</v>
      </c>
      <c r="F335" s="329">
        <v>203308</v>
      </c>
      <c r="G335" s="329"/>
      <c r="H335" s="329">
        <f t="shared" si="41"/>
        <v>203308</v>
      </c>
      <c r="I335" s="71"/>
      <c r="J335" s="71"/>
      <c r="K335" s="71"/>
      <c r="L335" s="71"/>
    </row>
    <row r="336" spans="1:12" s="26" customFormat="1" ht="15" customHeight="1" x14ac:dyDescent="0.2">
      <c r="A336" s="1592"/>
      <c r="B336" s="1593"/>
      <c r="C336" s="1594"/>
      <c r="D336" s="1585"/>
      <c r="E336" s="322" t="s">
        <v>256</v>
      </c>
      <c r="F336" s="329">
        <v>81547</v>
      </c>
      <c r="G336" s="329"/>
      <c r="H336" s="329">
        <f t="shared" si="41"/>
        <v>81547</v>
      </c>
      <c r="I336" s="71"/>
      <c r="J336" s="71"/>
      <c r="K336" s="71"/>
      <c r="L336" s="71"/>
    </row>
    <row r="337" spans="1:12" s="26" customFormat="1" ht="15" customHeight="1" x14ac:dyDescent="0.2">
      <c r="A337" s="1592"/>
      <c r="B337" s="1593"/>
      <c r="C337" s="1594"/>
      <c r="D337" s="1585" t="s">
        <v>55</v>
      </c>
      <c r="E337" s="156" t="s">
        <v>66</v>
      </c>
      <c r="F337" s="329"/>
      <c r="G337" s="329"/>
      <c r="H337" s="329"/>
      <c r="I337" s="71"/>
      <c r="J337" s="71"/>
      <c r="K337" s="71"/>
      <c r="L337" s="71"/>
    </row>
    <row r="338" spans="1:12" s="26" customFormat="1" ht="15" customHeight="1" x14ac:dyDescent="0.2">
      <c r="A338" s="1592"/>
      <c r="B338" s="1593"/>
      <c r="C338" s="1594"/>
      <c r="D338" s="1585"/>
      <c r="E338" s="322" t="s">
        <v>254</v>
      </c>
      <c r="F338" s="329"/>
      <c r="G338" s="329"/>
      <c r="H338" s="329">
        <f t="shared" si="41"/>
        <v>0</v>
      </c>
      <c r="I338" s="71"/>
      <c r="J338" s="71"/>
      <c r="K338" s="71"/>
      <c r="L338" s="71"/>
    </row>
    <row r="339" spans="1:12" s="26" customFormat="1" ht="15" customHeight="1" x14ac:dyDescent="0.2">
      <c r="A339" s="1592"/>
      <c r="B339" s="1593"/>
      <c r="C339" s="1594"/>
      <c r="D339" s="1585"/>
      <c r="E339" s="322" t="s">
        <v>255</v>
      </c>
      <c r="F339" s="329"/>
      <c r="G339" s="329"/>
      <c r="H339" s="329">
        <f t="shared" si="41"/>
        <v>0</v>
      </c>
      <c r="I339" s="71"/>
      <c r="J339" s="71"/>
      <c r="K339" s="71"/>
      <c r="L339" s="71"/>
    </row>
    <row r="340" spans="1:12" s="26" customFormat="1" ht="15" customHeight="1" x14ac:dyDescent="0.2">
      <c r="A340" s="1592"/>
      <c r="B340" s="1593"/>
      <c r="C340" s="1594"/>
      <c r="D340" s="1585"/>
      <c r="E340" s="322" t="s">
        <v>256</v>
      </c>
      <c r="F340" s="329"/>
      <c r="G340" s="329"/>
      <c r="H340" s="329">
        <f t="shared" si="41"/>
        <v>0</v>
      </c>
      <c r="I340" s="71"/>
      <c r="J340" s="71"/>
      <c r="K340" s="71"/>
      <c r="L340" s="71"/>
    </row>
    <row r="341" spans="1:12" s="26" customFormat="1" ht="15" customHeight="1" x14ac:dyDescent="0.2">
      <c r="A341" s="1592"/>
      <c r="B341" s="1593"/>
      <c r="C341" s="1594"/>
      <c r="D341" s="1585"/>
      <c r="E341" s="340" t="s">
        <v>188</v>
      </c>
      <c r="F341" s="329"/>
      <c r="G341" s="329"/>
      <c r="H341" s="329"/>
      <c r="I341" s="71"/>
      <c r="J341" s="71"/>
      <c r="K341" s="71"/>
      <c r="L341" s="71"/>
    </row>
    <row r="342" spans="1:12" s="26" customFormat="1" ht="15" customHeight="1" x14ac:dyDescent="0.2">
      <c r="A342" s="1592"/>
      <c r="B342" s="1593"/>
      <c r="C342" s="1594"/>
      <c r="D342" s="1585"/>
      <c r="E342" s="322" t="s">
        <v>254</v>
      </c>
      <c r="F342" s="329">
        <f>F346+F350</f>
        <v>2430000</v>
      </c>
      <c r="G342" s="329">
        <f>G346+G350</f>
        <v>0</v>
      </c>
      <c r="H342" s="329">
        <f t="shared" si="41"/>
        <v>2430000</v>
      </c>
      <c r="I342" s="71"/>
      <c r="J342" s="71"/>
      <c r="K342" s="71"/>
      <c r="L342" s="71"/>
    </row>
    <row r="343" spans="1:12" s="26" customFormat="1" ht="15" customHeight="1" x14ac:dyDescent="0.2">
      <c r="A343" s="1592"/>
      <c r="B343" s="1593"/>
      <c r="C343" s="1594"/>
      <c r="D343" s="1585"/>
      <c r="E343" s="322" t="s">
        <v>255</v>
      </c>
      <c r="F343" s="329">
        <f t="shared" ref="F343:F344" si="62">F347+F351</f>
        <v>2430000</v>
      </c>
      <c r="G343" s="329">
        <f t="shared" ref="G343:G344" si="63">G347+G351</f>
        <v>0</v>
      </c>
      <c r="H343" s="329">
        <f t="shared" si="41"/>
        <v>2430000</v>
      </c>
      <c r="I343" s="71"/>
      <c r="J343" s="71"/>
      <c r="K343" s="71"/>
      <c r="L343" s="71"/>
    </row>
    <row r="344" spans="1:12" s="26" customFormat="1" ht="15" customHeight="1" x14ac:dyDescent="0.2">
      <c r="A344" s="1592"/>
      <c r="B344" s="1593"/>
      <c r="C344" s="1594"/>
      <c r="D344" s="1585"/>
      <c r="E344" s="322" t="s">
        <v>256</v>
      </c>
      <c r="F344" s="329">
        <f t="shared" si="62"/>
        <v>2110926</v>
      </c>
      <c r="G344" s="329">
        <f t="shared" si="63"/>
        <v>0</v>
      </c>
      <c r="H344" s="329">
        <f t="shared" si="41"/>
        <v>2110926</v>
      </c>
      <c r="I344" s="71"/>
      <c r="J344" s="71"/>
      <c r="K344" s="71"/>
      <c r="L344" s="71"/>
    </row>
    <row r="345" spans="1:12" s="26" customFormat="1" ht="15" customHeight="1" x14ac:dyDescent="0.2">
      <c r="A345" s="1592"/>
      <c r="B345" s="1593"/>
      <c r="C345" s="1594"/>
      <c r="D345" s="1585" t="s">
        <v>54</v>
      </c>
      <c r="E345" s="671" t="s">
        <v>65</v>
      </c>
      <c r="F345" s="329"/>
      <c r="G345" s="329"/>
      <c r="H345" s="329"/>
      <c r="I345" s="71"/>
      <c r="J345" s="71"/>
      <c r="K345" s="71"/>
      <c r="L345" s="71"/>
    </row>
    <row r="346" spans="1:12" s="26" customFormat="1" ht="15" customHeight="1" x14ac:dyDescent="0.2">
      <c r="A346" s="1592"/>
      <c r="B346" s="1593"/>
      <c r="C346" s="1594"/>
      <c r="D346" s="1585"/>
      <c r="E346" s="322" t="s">
        <v>254</v>
      </c>
      <c r="F346" s="329">
        <v>1890000</v>
      </c>
      <c r="G346" s="329"/>
      <c r="H346" s="329">
        <f t="shared" si="41"/>
        <v>1890000</v>
      </c>
      <c r="I346" s="71"/>
      <c r="J346" s="71"/>
      <c r="K346" s="71"/>
      <c r="L346" s="71"/>
    </row>
    <row r="347" spans="1:12" s="26" customFormat="1" ht="15" customHeight="1" x14ac:dyDescent="0.2">
      <c r="A347" s="1592"/>
      <c r="B347" s="1593"/>
      <c r="C347" s="1594"/>
      <c r="D347" s="1585"/>
      <c r="E347" s="322" t="s">
        <v>255</v>
      </c>
      <c r="F347" s="329">
        <v>2000000</v>
      </c>
      <c r="G347" s="329"/>
      <c r="H347" s="329">
        <f t="shared" si="41"/>
        <v>2000000</v>
      </c>
      <c r="I347" s="71"/>
      <c r="J347" s="71"/>
      <c r="K347" s="71"/>
      <c r="L347" s="71"/>
    </row>
    <row r="348" spans="1:12" s="26" customFormat="1" ht="15" customHeight="1" x14ac:dyDescent="0.2">
      <c r="A348" s="1592"/>
      <c r="B348" s="1593"/>
      <c r="C348" s="1594"/>
      <c r="D348" s="1585"/>
      <c r="E348" s="322" t="s">
        <v>256</v>
      </c>
      <c r="F348" s="329">
        <f>343586+1457275</f>
        <v>1800861</v>
      </c>
      <c r="G348" s="329"/>
      <c r="H348" s="329">
        <f t="shared" si="41"/>
        <v>1800861</v>
      </c>
      <c r="I348" s="71"/>
      <c r="J348" s="71"/>
      <c r="K348" s="71"/>
      <c r="L348" s="71"/>
    </row>
    <row r="349" spans="1:12" s="26" customFormat="1" ht="15" customHeight="1" x14ac:dyDescent="0.2">
      <c r="A349" s="1592"/>
      <c r="B349" s="1593"/>
      <c r="C349" s="1594"/>
      <c r="D349" s="1585" t="s">
        <v>55</v>
      </c>
      <c r="E349" s="156" t="s">
        <v>66</v>
      </c>
      <c r="F349" s="329"/>
      <c r="G349" s="329"/>
      <c r="H349" s="329"/>
      <c r="I349" s="71"/>
      <c r="J349" s="71"/>
      <c r="K349" s="71"/>
      <c r="L349" s="71"/>
    </row>
    <row r="350" spans="1:12" s="26" customFormat="1" ht="15" customHeight="1" x14ac:dyDescent="0.2">
      <c r="A350" s="1592"/>
      <c r="B350" s="1593"/>
      <c r="C350" s="1594"/>
      <c r="D350" s="1585"/>
      <c r="E350" s="322" t="s">
        <v>254</v>
      </c>
      <c r="F350" s="329">
        <v>540000</v>
      </c>
      <c r="G350" s="329"/>
      <c r="H350" s="329">
        <f t="shared" si="41"/>
        <v>540000</v>
      </c>
      <c r="I350" s="71"/>
      <c r="J350" s="71"/>
      <c r="K350" s="71"/>
      <c r="L350" s="71"/>
    </row>
    <row r="351" spans="1:12" s="26" customFormat="1" ht="15" customHeight="1" x14ac:dyDescent="0.2">
      <c r="A351" s="1592"/>
      <c r="B351" s="1593"/>
      <c r="C351" s="1594"/>
      <c r="D351" s="1585"/>
      <c r="E351" s="322" t="s">
        <v>255</v>
      </c>
      <c r="F351" s="329">
        <v>430000</v>
      </c>
      <c r="G351" s="329"/>
      <c r="H351" s="329">
        <f t="shared" si="41"/>
        <v>430000</v>
      </c>
      <c r="I351" s="71"/>
      <c r="J351" s="71"/>
      <c r="K351" s="71"/>
      <c r="L351" s="71"/>
    </row>
    <row r="352" spans="1:12" s="26" customFormat="1" ht="15" customHeight="1" x14ac:dyDescent="0.2">
      <c r="A352" s="1592"/>
      <c r="B352" s="1593"/>
      <c r="C352" s="1594"/>
      <c r="D352" s="1585"/>
      <c r="E352" s="322" t="s">
        <v>256</v>
      </c>
      <c r="F352" s="329">
        <v>310065</v>
      </c>
      <c r="G352" s="329"/>
      <c r="H352" s="329">
        <f t="shared" si="41"/>
        <v>310065</v>
      </c>
      <c r="I352" s="71"/>
      <c r="J352" s="71"/>
      <c r="K352" s="71"/>
      <c r="L352" s="71"/>
    </row>
    <row r="353" spans="1:12" s="26" customFormat="1" ht="15" customHeight="1" x14ac:dyDescent="0.2">
      <c r="A353" s="1592"/>
      <c r="B353" s="1593"/>
      <c r="C353" s="1594"/>
      <c r="D353" s="1585"/>
      <c r="E353" s="340" t="s">
        <v>189</v>
      </c>
      <c r="F353" s="329"/>
      <c r="G353" s="329"/>
      <c r="H353" s="329"/>
      <c r="I353" s="71"/>
      <c r="J353" s="71"/>
      <c r="K353" s="71"/>
      <c r="L353" s="71"/>
    </row>
    <row r="354" spans="1:12" s="26" customFormat="1" ht="15" customHeight="1" x14ac:dyDescent="0.2">
      <c r="A354" s="1592"/>
      <c r="B354" s="1593"/>
      <c r="C354" s="1594"/>
      <c r="D354" s="1585"/>
      <c r="E354" s="322" t="s">
        <v>254</v>
      </c>
      <c r="F354" s="329">
        <f>F358+F362</f>
        <v>0</v>
      </c>
      <c r="G354" s="329">
        <f>G358+G362</f>
        <v>0</v>
      </c>
      <c r="H354" s="329">
        <f t="shared" si="41"/>
        <v>0</v>
      </c>
      <c r="I354" s="71"/>
      <c r="J354" s="71"/>
      <c r="K354" s="71"/>
      <c r="L354" s="71"/>
    </row>
    <row r="355" spans="1:12" s="26" customFormat="1" ht="15" customHeight="1" x14ac:dyDescent="0.2">
      <c r="A355" s="1592"/>
      <c r="B355" s="1593"/>
      <c r="C355" s="1594"/>
      <c r="D355" s="1585"/>
      <c r="E355" s="322" t="s">
        <v>255</v>
      </c>
      <c r="F355" s="329">
        <f t="shared" ref="F355:G356" si="64">F359+F363</f>
        <v>0</v>
      </c>
      <c r="G355" s="329">
        <f t="shared" si="64"/>
        <v>0</v>
      </c>
      <c r="H355" s="329">
        <f t="shared" si="41"/>
        <v>0</v>
      </c>
      <c r="I355" s="71"/>
      <c r="J355" s="71"/>
      <c r="K355" s="71"/>
      <c r="L355" s="71"/>
    </row>
    <row r="356" spans="1:12" s="26" customFormat="1" ht="15" customHeight="1" x14ac:dyDescent="0.2">
      <c r="A356" s="1592"/>
      <c r="B356" s="1593"/>
      <c r="C356" s="1594"/>
      <c r="D356" s="1585"/>
      <c r="E356" s="322" t="s">
        <v>256</v>
      </c>
      <c r="F356" s="329">
        <f t="shared" si="64"/>
        <v>0</v>
      </c>
      <c r="G356" s="329">
        <f t="shared" si="64"/>
        <v>0</v>
      </c>
      <c r="H356" s="329">
        <f t="shared" si="41"/>
        <v>0</v>
      </c>
      <c r="I356" s="71"/>
      <c r="J356" s="71"/>
      <c r="K356" s="71"/>
      <c r="L356" s="71"/>
    </row>
    <row r="357" spans="1:12" s="26" customFormat="1" ht="15" customHeight="1" x14ac:dyDescent="0.2">
      <c r="A357" s="1592"/>
      <c r="B357" s="1593"/>
      <c r="C357" s="1594"/>
      <c r="D357" s="1585" t="s">
        <v>54</v>
      </c>
      <c r="E357" s="671" t="s">
        <v>65</v>
      </c>
      <c r="F357" s="329"/>
      <c r="G357" s="329"/>
      <c r="H357" s="329"/>
      <c r="I357" s="71"/>
      <c r="J357" s="71"/>
      <c r="K357" s="71"/>
      <c r="L357" s="71"/>
    </row>
    <row r="358" spans="1:12" s="26" customFormat="1" ht="15" customHeight="1" x14ac:dyDescent="0.2">
      <c r="A358" s="1592"/>
      <c r="B358" s="1593"/>
      <c r="C358" s="1594"/>
      <c r="D358" s="1585"/>
      <c r="E358" s="322" t="s">
        <v>254</v>
      </c>
      <c r="F358" s="329"/>
      <c r="G358" s="329"/>
      <c r="H358" s="329">
        <f t="shared" si="41"/>
        <v>0</v>
      </c>
      <c r="I358" s="71"/>
      <c r="J358" s="71"/>
      <c r="K358" s="71"/>
      <c r="L358" s="71"/>
    </row>
    <row r="359" spans="1:12" s="26" customFormat="1" ht="15" customHeight="1" x14ac:dyDescent="0.2">
      <c r="A359" s="1592"/>
      <c r="B359" s="1593"/>
      <c r="C359" s="1594"/>
      <c r="D359" s="1585"/>
      <c r="E359" s="322" t="s">
        <v>255</v>
      </c>
      <c r="F359" s="329"/>
      <c r="G359" s="329"/>
      <c r="H359" s="329">
        <f t="shared" si="41"/>
        <v>0</v>
      </c>
      <c r="I359" s="71"/>
      <c r="J359" s="71"/>
      <c r="K359" s="71"/>
      <c r="L359" s="71"/>
    </row>
    <row r="360" spans="1:12" s="26" customFormat="1" ht="15" customHeight="1" x14ac:dyDescent="0.2">
      <c r="A360" s="1592"/>
      <c r="B360" s="1593"/>
      <c r="C360" s="1594"/>
      <c r="D360" s="1585"/>
      <c r="E360" s="322" t="s">
        <v>256</v>
      </c>
      <c r="F360" s="329"/>
      <c r="G360" s="329"/>
      <c r="H360" s="329">
        <f t="shared" si="41"/>
        <v>0</v>
      </c>
      <c r="I360" s="71"/>
      <c r="J360" s="71"/>
      <c r="K360" s="71"/>
      <c r="L360" s="71"/>
    </row>
    <row r="361" spans="1:12" s="26" customFormat="1" ht="15" customHeight="1" x14ac:dyDescent="0.2">
      <c r="A361" s="1592"/>
      <c r="B361" s="1593"/>
      <c r="C361" s="1594"/>
      <c r="D361" s="348" t="s">
        <v>55</v>
      </c>
      <c r="E361" s="156" t="s">
        <v>66</v>
      </c>
      <c r="F361" s="329"/>
      <c r="G361" s="329"/>
      <c r="H361" s="329"/>
      <c r="I361" s="71"/>
      <c r="J361" s="71"/>
      <c r="K361" s="71"/>
      <c r="L361" s="71"/>
    </row>
    <row r="362" spans="1:12" s="26" customFormat="1" ht="15" customHeight="1" x14ac:dyDescent="0.2">
      <c r="A362" s="1592"/>
      <c r="B362" s="1593"/>
      <c r="C362" s="1594"/>
      <c r="D362" s="349"/>
      <c r="E362" s="322" t="s">
        <v>254</v>
      </c>
      <c r="F362" s="329"/>
      <c r="G362" s="329"/>
      <c r="H362" s="329">
        <f t="shared" si="41"/>
        <v>0</v>
      </c>
      <c r="I362" s="71"/>
      <c r="J362" s="71"/>
      <c r="K362" s="71"/>
      <c r="L362" s="71"/>
    </row>
    <row r="363" spans="1:12" s="26" customFormat="1" ht="15" customHeight="1" x14ac:dyDescent="0.2">
      <c r="A363" s="1592"/>
      <c r="B363" s="1593"/>
      <c r="C363" s="1594"/>
      <c r="D363" s="349"/>
      <c r="E363" s="322" t="s">
        <v>255</v>
      </c>
      <c r="F363" s="329"/>
      <c r="G363" s="329"/>
      <c r="H363" s="329">
        <f t="shared" si="41"/>
        <v>0</v>
      </c>
      <c r="I363" s="71"/>
      <c r="J363" s="71"/>
      <c r="K363" s="71"/>
      <c r="L363" s="71"/>
    </row>
    <row r="364" spans="1:12" s="26" customFormat="1" ht="15" customHeight="1" x14ac:dyDescent="0.2">
      <c r="A364" s="1595"/>
      <c r="B364" s="1596"/>
      <c r="C364" s="1597"/>
      <c r="D364" s="350"/>
      <c r="E364" s="322" t="s">
        <v>256</v>
      </c>
      <c r="F364" s="329"/>
      <c r="G364" s="329"/>
      <c r="H364" s="329">
        <f t="shared" si="41"/>
        <v>0</v>
      </c>
      <c r="I364" s="71"/>
      <c r="J364" s="71"/>
      <c r="K364" s="71"/>
      <c r="L364" s="71"/>
    </row>
    <row r="365" spans="1:12" s="26" customFormat="1" ht="15" customHeight="1" x14ac:dyDescent="0.2">
      <c r="A365" s="1616">
        <v>7</v>
      </c>
      <c r="B365" s="1616"/>
      <c r="C365" s="1616" t="s">
        <v>108</v>
      </c>
      <c r="D365" s="1176"/>
      <c r="E365" s="339" t="s">
        <v>155</v>
      </c>
      <c r="F365" s="328"/>
      <c r="G365" s="328"/>
      <c r="H365" s="328"/>
      <c r="I365" s="71"/>
      <c r="J365" s="71"/>
      <c r="K365" s="71"/>
      <c r="L365" s="71"/>
    </row>
    <row r="366" spans="1:12" s="26" customFormat="1" ht="15" customHeight="1" x14ac:dyDescent="0.2">
      <c r="A366" s="1616"/>
      <c r="B366" s="1616"/>
      <c r="C366" s="1616"/>
      <c r="D366" s="1176"/>
      <c r="E366" s="321" t="s">
        <v>254</v>
      </c>
      <c r="F366" s="328">
        <f>F370+F374</f>
        <v>2000</v>
      </c>
      <c r="G366" s="328">
        <f>G370+G374</f>
        <v>0</v>
      </c>
      <c r="H366" s="328">
        <f t="shared" si="41"/>
        <v>2000</v>
      </c>
      <c r="I366" s="71"/>
      <c r="J366" s="71"/>
      <c r="K366" s="71"/>
      <c r="L366" s="71"/>
    </row>
    <row r="367" spans="1:12" s="26" customFormat="1" ht="15" customHeight="1" x14ac:dyDescent="0.2">
      <c r="A367" s="1616"/>
      <c r="B367" s="1616"/>
      <c r="C367" s="1616"/>
      <c r="D367" s="1176"/>
      <c r="E367" s="321" t="s">
        <v>255</v>
      </c>
      <c r="F367" s="328">
        <f t="shared" ref="F367:G368" si="65">F371+F375</f>
        <v>4081</v>
      </c>
      <c r="G367" s="328">
        <f t="shared" si="65"/>
        <v>0</v>
      </c>
      <c r="H367" s="328">
        <f t="shared" si="41"/>
        <v>4081</v>
      </c>
      <c r="I367" s="71"/>
      <c r="J367" s="71"/>
      <c r="K367" s="71"/>
      <c r="L367" s="71"/>
    </row>
    <row r="368" spans="1:12" s="26" customFormat="1" ht="15" customHeight="1" x14ac:dyDescent="0.2">
      <c r="A368" s="1616"/>
      <c r="B368" s="1616"/>
      <c r="C368" s="1616"/>
      <c r="D368" s="1176"/>
      <c r="E368" s="321" t="s">
        <v>256</v>
      </c>
      <c r="F368" s="328">
        <f t="shared" si="65"/>
        <v>3696</v>
      </c>
      <c r="G368" s="328">
        <f t="shared" si="65"/>
        <v>0</v>
      </c>
      <c r="H368" s="328">
        <f t="shared" si="41"/>
        <v>3696</v>
      </c>
      <c r="I368" s="71"/>
      <c r="J368" s="71"/>
      <c r="K368" s="71"/>
      <c r="L368" s="71"/>
    </row>
    <row r="369" spans="1:12" s="26" customFormat="1" ht="15" customHeight="1" x14ac:dyDescent="0.2">
      <c r="A369" s="1616"/>
      <c r="B369" s="1616"/>
      <c r="C369" s="1616"/>
      <c r="D369" s="1616" t="s">
        <v>54</v>
      </c>
      <c r="E369" s="337" t="s">
        <v>65</v>
      </c>
      <c r="F369" s="328"/>
      <c r="G369" s="328"/>
      <c r="H369" s="328"/>
      <c r="I369" s="71"/>
      <c r="J369" s="71"/>
      <c r="K369" s="71"/>
      <c r="L369" s="71"/>
    </row>
    <row r="370" spans="1:12" s="26" customFormat="1" ht="15" customHeight="1" x14ac:dyDescent="0.2">
      <c r="A370" s="1616"/>
      <c r="B370" s="1616"/>
      <c r="C370" s="1616"/>
      <c r="D370" s="1616"/>
      <c r="E370" s="321" t="s">
        <v>254</v>
      </c>
      <c r="F370" s="328">
        <f>F382+F394+F406</f>
        <v>1500</v>
      </c>
      <c r="G370" s="328">
        <f>G382+G394+G406</f>
        <v>0</v>
      </c>
      <c r="H370" s="328">
        <f t="shared" si="41"/>
        <v>1500</v>
      </c>
      <c r="I370" s="71"/>
      <c r="J370" s="71"/>
      <c r="K370" s="71"/>
      <c r="L370" s="71"/>
    </row>
    <row r="371" spans="1:12" s="26" customFormat="1" ht="15" customHeight="1" x14ac:dyDescent="0.2">
      <c r="A371" s="1616"/>
      <c r="B371" s="1616"/>
      <c r="C371" s="1616"/>
      <c r="D371" s="1616"/>
      <c r="E371" s="321" t="s">
        <v>255</v>
      </c>
      <c r="F371" s="328">
        <f t="shared" ref="F371:G372" si="66">F383+F395+F407</f>
        <v>3254</v>
      </c>
      <c r="G371" s="328">
        <f t="shared" si="66"/>
        <v>0</v>
      </c>
      <c r="H371" s="328">
        <f t="shared" si="41"/>
        <v>3254</v>
      </c>
      <c r="I371" s="71"/>
      <c r="J371" s="71"/>
      <c r="K371" s="71"/>
      <c r="L371" s="71"/>
    </row>
    <row r="372" spans="1:12" s="26" customFormat="1" ht="15" customHeight="1" x14ac:dyDescent="0.2">
      <c r="A372" s="1616"/>
      <c r="B372" s="1616"/>
      <c r="C372" s="1616"/>
      <c r="D372" s="1616"/>
      <c r="E372" s="321" t="s">
        <v>256</v>
      </c>
      <c r="F372" s="328">
        <f>F384+F396+F408</f>
        <v>3062</v>
      </c>
      <c r="G372" s="328">
        <f t="shared" si="66"/>
        <v>0</v>
      </c>
      <c r="H372" s="328">
        <f t="shared" si="41"/>
        <v>3062</v>
      </c>
      <c r="I372" s="71"/>
      <c r="J372" s="71"/>
      <c r="K372" s="71"/>
      <c r="L372" s="71"/>
    </row>
    <row r="373" spans="1:12" s="26" customFormat="1" ht="15" customHeight="1" x14ac:dyDescent="0.2">
      <c r="A373" s="1616"/>
      <c r="B373" s="1616"/>
      <c r="C373" s="1616"/>
      <c r="D373" s="1616" t="s">
        <v>55</v>
      </c>
      <c r="E373" s="338" t="s">
        <v>66</v>
      </c>
      <c r="F373" s="328"/>
      <c r="G373" s="328"/>
      <c r="H373" s="328"/>
      <c r="I373" s="71"/>
      <c r="J373" s="71"/>
      <c r="K373" s="71"/>
      <c r="L373" s="71"/>
    </row>
    <row r="374" spans="1:12" s="26" customFormat="1" ht="15" customHeight="1" x14ac:dyDescent="0.2">
      <c r="A374" s="1616"/>
      <c r="B374" s="1616"/>
      <c r="C374" s="1616"/>
      <c r="D374" s="1616"/>
      <c r="E374" s="321" t="s">
        <v>254</v>
      </c>
      <c r="F374" s="328">
        <f>F386+F398+F410</f>
        <v>500</v>
      </c>
      <c r="G374" s="328">
        <f>G386+G398+G410</f>
        <v>0</v>
      </c>
      <c r="H374" s="328">
        <f t="shared" si="41"/>
        <v>500</v>
      </c>
      <c r="I374" s="71"/>
      <c r="J374" s="71"/>
      <c r="K374" s="71"/>
      <c r="L374" s="71"/>
    </row>
    <row r="375" spans="1:12" s="26" customFormat="1" ht="15" customHeight="1" x14ac:dyDescent="0.2">
      <c r="A375" s="1616"/>
      <c r="B375" s="1616"/>
      <c r="C375" s="1616"/>
      <c r="D375" s="1616"/>
      <c r="E375" s="321" t="s">
        <v>255</v>
      </c>
      <c r="F375" s="328">
        <f t="shared" ref="F375:F376" si="67">F387+F399+F411</f>
        <v>827</v>
      </c>
      <c r="G375" s="328">
        <f t="shared" ref="G375:G376" si="68">G387+G399+G411</f>
        <v>0</v>
      </c>
      <c r="H375" s="328">
        <f t="shared" si="41"/>
        <v>827</v>
      </c>
      <c r="I375" s="71"/>
      <c r="J375" s="71"/>
      <c r="K375" s="71"/>
      <c r="L375" s="71"/>
    </row>
    <row r="376" spans="1:12" s="26" customFormat="1" ht="15" customHeight="1" x14ac:dyDescent="0.2">
      <c r="A376" s="1616"/>
      <c r="B376" s="1616"/>
      <c r="C376" s="1616"/>
      <c r="D376" s="1616"/>
      <c r="E376" s="321" t="s">
        <v>256</v>
      </c>
      <c r="F376" s="328">
        <f t="shared" si="67"/>
        <v>634</v>
      </c>
      <c r="G376" s="328">
        <f t="shared" si="68"/>
        <v>0</v>
      </c>
      <c r="H376" s="328">
        <f t="shared" si="41"/>
        <v>634</v>
      </c>
      <c r="I376" s="71"/>
      <c r="J376" s="71"/>
      <c r="K376" s="71"/>
      <c r="L376" s="71"/>
    </row>
    <row r="377" spans="1:12" s="26" customFormat="1" ht="15" customHeight="1" x14ac:dyDescent="0.2">
      <c r="A377" s="1589"/>
      <c r="B377" s="1590"/>
      <c r="C377" s="1591"/>
      <c r="D377" s="1585"/>
      <c r="E377" s="340" t="s">
        <v>207</v>
      </c>
      <c r="F377" s="329"/>
      <c r="G377" s="329"/>
      <c r="H377" s="329"/>
      <c r="I377" s="71"/>
      <c r="J377" s="71"/>
      <c r="K377" s="71"/>
      <c r="L377" s="71"/>
    </row>
    <row r="378" spans="1:12" s="26" customFormat="1" ht="15" customHeight="1" x14ac:dyDescent="0.2">
      <c r="A378" s="1592"/>
      <c r="B378" s="1593"/>
      <c r="C378" s="1594"/>
      <c r="D378" s="1585"/>
      <c r="E378" s="322" t="s">
        <v>254</v>
      </c>
      <c r="F378" s="329">
        <f>F382+F386</f>
        <v>0</v>
      </c>
      <c r="G378" s="329">
        <f>G382+G386</f>
        <v>0</v>
      </c>
      <c r="H378" s="329">
        <f t="shared" si="41"/>
        <v>0</v>
      </c>
      <c r="I378" s="71"/>
      <c r="J378" s="71"/>
      <c r="K378" s="71"/>
      <c r="L378" s="71"/>
    </row>
    <row r="379" spans="1:12" s="26" customFormat="1" ht="15" customHeight="1" x14ac:dyDescent="0.2">
      <c r="A379" s="1592"/>
      <c r="B379" s="1593"/>
      <c r="C379" s="1594"/>
      <c r="D379" s="1585"/>
      <c r="E379" s="322" t="s">
        <v>255</v>
      </c>
      <c r="F379" s="329">
        <f t="shared" ref="F379:F380" si="69">F383+F387</f>
        <v>1254</v>
      </c>
      <c r="G379" s="329">
        <f t="shared" ref="G379:G380" si="70">G383+G387</f>
        <v>0</v>
      </c>
      <c r="H379" s="329">
        <f t="shared" si="41"/>
        <v>1254</v>
      </c>
      <c r="I379" s="71"/>
      <c r="J379" s="71"/>
      <c r="K379" s="71"/>
      <c r="L379" s="71"/>
    </row>
    <row r="380" spans="1:12" s="26" customFormat="1" ht="15" customHeight="1" x14ac:dyDescent="0.2">
      <c r="A380" s="1592"/>
      <c r="B380" s="1593"/>
      <c r="C380" s="1594"/>
      <c r="D380" s="1585"/>
      <c r="E380" s="322" t="s">
        <v>256</v>
      </c>
      <c r="F380" s="329">
        <f t="shared" si="69"/>
        <v>1254</v>
      </c>
      <c r="G380" s="329">
        <f t="shared" si="70"/>
        <v>0</v>
      </c>
      <c r="H380" s="329">
        <f t="shared" si="41"/>
        <v>1254</v>
      </c>
      <c r="I380" s="71"/>
      <c r="J380" s="71"/>
      <c r="K380" s="71"/>
      <c r="L380" s="71"/>
    </row>
    <row r="381" spans="1:12" s="26" customFormat="1" ht="15" customHeight="1" x14ac:dyDescent="0.2">
      <c r="A381" s="1592"/>
      <c r="B381" s="1593"/>
      <c r="C381" s="1594"/>
      <c r="D381" s="1585" t="s">
        <v>54</v>
      </c>
      <c r="E381" s="671" t="s">
        <v>65</v>
      </c>
      <c r="F381" s="329"/>
      <c r="G381" s="329"/>
      <c r="H381" s="329"/>
      <c r="I381" s="71"/>
      <c r="J381" s="71"/>
      <c r="K381" s="71"/>
      <c r="L381" s="71"/>
    </row>
    <row r="382" spans="1:12" s="26" customFormat="1" ht="15" customHeight="1" x14ac:dyDescent="0.2">
      <c r="A382" s="1592"/>
      <c r="B382" s="1593"/>
      <c r="C382" s="1594"/>
      <c r="D382" s="1585"/>
      <c r="E382" s="322" t="s">
        <v>254</v>
      </c>
      <c r="F382" s="329">
        <v>0</v>
      </c>
      <c r="G382" s="329"/>
      <c r="H382" s="329">
        <f t="shared" si="41"/>
        <v>0</v>
      </c>
      <c r="I382" s="71"/>
      <c r="J382" s="71"/>
      <c r="K382" s="71"/>
      <c r="L382" s="71"/>
    </row>
    <row r="383" spans="1:12" s="26" customFormat="1" ht="15" customHeight="1" x14ac:dyDescent="0.2">
      <c r="A383" s="1592"/>
      <c r="B383" s="1593"/>
      <c r="C383" s="1594"/>
      <c r="D383" s="1585"/>
      <c r="E383" s="322" t="s">
        <v>255</v>
      </c>
      <c r="F383" s="329">
        <v>1254</v>
      </c>
      <c r="G383" s="329"/>
      <c r="H383" s="329">
        <f t="shared" si="41"/>
        <v>1254</v>
      </c>
      <c r="I383" s="71"/>
      <c r="J383" s="71"/>
      <c r="K383" s="71"/>
      <c r="L383" s="71"/>
    </row>
    <row r="384" spans="1:12" s="26" customFormat="1" ht="15" customHeight="1" x14ac:dyDescent="0.2">
      <c r="A384" s="1592"/>
      <c r="B384" s="1593"/>
      <c r="C384" s="1594"/>
      <c r="D384" s="1585"/>
      <c r="E384" s="322" t="s">
        <v>256</v>
      </c>
      <c r="F384" s="329">
        <v>1254</v>
      </c>
      <c r="G384" s="329"/>
      <c r="H384" s="329">
        <f t="shared" si="41"/>
        <v>1254</v>
      </c>
      <c r="I384" s="71"/>
      <c r="J384" s="71"/>
      <c r="K384" s="71"/>
      <c r="L384" s="71"/>
    </row>
    <row r="385" spans="1:12" s="26" customFormat="1" ht="15" customHeight="1" x14ac:dyDescent="0.2">
      <c r="A385" s="1592"/>
      <c r="B385" s="1593"/>
      <c r="C385" s="1594"/>
      <c r="D385" s="1585" t="s">
        <v>55</v>
      </c>
      <c r="E385" s="156" t="s">
        <v>66</v>
      </c>
      <c r="F385" s="329"/>
      <c r="G385" s="329"/>
      <c r="H385" s="329"/>
      <c r="I385" s="71"/>
      <c r="J385" s="71"/>
      <c r="K385" s="71"/>
      <c r="L385" s="71"/>
    </row>
    <row r="386" spans="1:12" s="26" customFormat="1" ht="15" customHeight="1" x14ac:dyDescent="0.2">
      <c r="A386" s="1592"/>
      <c r="B386" s="1593"/>
      <c r="C386" s="1594"/>
      <c r="D386" s="1585"/>
      <c r="E386" s="322" t="s">
        <v>254</v>
      </c>
      <c r="F386" s="329"/>
      <c r="G386" s="329"/>
      <c r="H386" s="329">
        <f t="shared" si="41"/>
        <v>0</v>
      </c>
      <c r="I386" s="71"/>
      <c r="J386" s="71"/>
      <c r="K386" s="71"/>
      <c r="L386" s="71"/>
    </row>
    <row r="387" spans="1:12" s="26" customFormat="1" ht="15" customHeight="1" x14ac:dyDescent="0.2">
      <c r="A387" s="1592"/>
      <c r="B387" s="1593"/>
      <c r="C387" s="1594"/>
      <c r="D387" s="1585"/>
      <c r="E387" s="322" t="s">
        <v>255</v>
      </c>
      <c r="F387" s="329"/>
      <c r="G387" s="329"/>
      <c r="H387" s="329">
        <f t="shared" si="41"/>
        <v>0</v>
      </c>
      <c r="I387" s="71"/>
      <c r="J387" s="71"/>
      <c r="K387" s="71"/>
      <c r="L387" s="71"/>
    </row>
    <row r="388" spans="1:12" s="26" customFormat="1" ht="15" customHeight="1" x14ac:dyDescent="0.2">
      <c r="A388" s="1592"/>
      <c r="B388" s="1593"/>
      <c r="C388" s="1594"/>
      <c r="D388" s="1585"/>
      <c r="E388" s="322" t="s">
        <v>256</v>
      </c>
      <c r="F388" s="329"/>
      <c r="G388" s="329"/>
      <c r="H388" s="329">
        <f t="shared" si="41"/>
        <v>0</v>
      </c>
      <c r="I388" s="71"/>
      <c r="J388" s="71"/>
      <c r="K388" s="71"/>
      <c r="L388" s="71"/>
    </row>
    <row r="389" spans="1:12" s="26" customFormat="1" ht="15" customHeight="1" x14ac:dyDescent="0.2">
      <c r="A389" s="1592"/>
      <c r="B389" s="1593"/>
      <c r="C389" s="1594"/>
      <c r="D389" s="1585"/>
      <c r="E389" s="340" t="s">
        <v>188</v>
      </c>
      <c r="F389" s="329"/>
      <c r="G389" s="329"/>
      <c r="H389" s="329"/>
      <c r="I389" s="71"/>
      <c r="J389" s="71"/>
      <c r="K389" s="71"/>
      <c r="L389" s="71"/>
    </row>
    <row r="390" spans="1:12" s="26" customFormat="1" ht="15" customHeight="1" x14ac:dyDescent="0.2">
      <c r="A390" s="1592"/>
      <c r="B390" s="1593"/>
      <c r="C390" s="1594"/>
      <c r="D390" s="1585"/>
      <c r="E390" s="322" t="s">
        <v>254</v>
      </c>
      <c r="F390" s="329">
        <f>F394+F398</f>
        <v>1000</v>
      </c>
      <c r="G390" s="329">
        <f>G394+G398</f>
        <v>0</v>
      </c>
      <c r="H390" s="329">
        <f t="shared" si="41"/>
        <v>1000</v>
      </c>
      <c r="I390" s="71"/>
      <c r="J390" s="71"/>
      <c r="K390" s="71"/>
      <c r="L390" s="71"/>
    </row>
    <row r="391" spans="1:12" s="26" customFormat="1" ht="15" customHeight="1" x14ac:dyDescent="0.2">
      <c r="A391" s="1592"/>
      <c r="B391" s="1593"/>
      <c r="C391" s="1594"/>
      <c r="D391" s="1585"/>
      <c r="E391" s="322" t="s">
        <v>255</v>
      </c>
      <c r="F391" s="329">
        <f t="shared" ref="F391:G392" si="71">F395+F399</f>
        <v>1827</v>
      </c>
      <c r="G391" s="329">
        <f t="shared" si="71"/>
        <v>0</v>
      </c>
      <c r="H391" s="329">
        <f t="shared" si="41"/>
        <v>1827</v>
      </c>
      <c r="I391" s="71"/>
      <c r="J391" s="71"/>
      <c r="K391" s="71"/>
      <c r="L391" s="71"/>
    </row>
    <row r="392" spans="1:12" s="26" customFormat="1" ht="15" customHeight="1" x14ac:dyDescent="0.2">
      <c r="A392" s="1592"/>
      <c r="B392" s="1593"/>
      <c r="C392" s="1594"/>
      <c r="D392" s="1585"/>
      <c r="E392" s="322" t="s">
        <v>256</v>
      </c>
      <c r="F392" s="329">
        <f t="shared" si="71"/>
        <v>1827</v>
      </c>
      <c r="G392" s="329">
        <f t="shared" si="71"/>
        <v>0</v>
      </c>
      <c r="H392" s="329">
        <f t="shared" si="41"/>
        <v>1827</v>
      </c>
      <c r="I392" s="71"/>
      <c r="J392" s="71"/>
      <c r="K392" s="71"/>
      <c r="L392" s="71"/>
    </row>
    <row r="393" spans="1:12" s="26" customFormat="1" ht="15" customHeight="1" x14ac:dyDescent="0.2">
      <c r="A393" s="1592"/>
      <c r="B393" s="1593"/>
      <c r="C393" s="1594"/>
      <c r="D393" s="1585" t="s">
        <v>54</v>
      </c>
      <c r="E393" s="671" t="s">
        <v>65</v>
      </c>
      <c r="F393" s="329"/>
      <c r="G393" s="329"/>
      <c r="H393" s="329"/>
      <c r="I393" s="71"/>
      <c r="J393" s="71"/>
      <c r="K393" s="71"/>
      <c r="L393" s="71"/>
    </row>
    <row r="394" spans="1:12" s="26" customFormat="1" ht="15" customHeight="1" x14ac:dyDescent="0.2">
      <c r="A394" s="1592"/>
      <c r="B394" s="1593"/>
      <c r="C394" s="1594"/>
      <c r="D394" s="1585"/>
      <c r="E394" s="322" t="s">
        <v>254</v>
      </c>
      <c r="F394" s="329">
        <v>500</v>
      </c>
      <c r="G394" s="329"/>
      <c r="H394" s="329">
        <f t="shared" si="41"/>
        <v>500</v>
      </c>
      <c r="I394" s="71"/>
      <c r="J394" s="71"/>
      <c r="K394" s="71"/>
      <c r="L394" s="71"/>
    </row>
    <row r="395" spans="1:12" s="26" customFormat="1" ht="15" customHeight="1" x14ac:dyDescent="0.2">
      <c r="A395" s="1592"/>
      <c r="B395" s="1593"/>
      <c r="C395" s="1594"/>
      <c r="D395" s="1585"/>
      <c r="E395" s="322" t="s">
        <v>255</v>
      </c>
      <c r="F395" s="329">
        <v>1000</v>
      </c>
      <c r="G395" s="329"/>
      <c r="H395" s="329">
        <f t="shared" si="41"/>
        <v>1000</v>
      </c>
      <c r="I395" s="71"/>
      <c r="J395" s="71"/>
      <c r="K395" s="71"/>
      <c r="L395" s="71"/>
    </row>
    <row r="396" spans="1:12" s="26" customFormat="1" ht="15" customHeight="1" x14ac:dyDescent="0.2">
      <c r="A396" s="1592"/>
      <c r="B396" s="1593"/>
      <c r="C396" s="1594"/>
      <c r="D396" s="1585"/>
      <c r="E396" s="322" t="s">
        <v>256</v>
      </c>
      <c r="F396" s="329">
        <f>12+803+378</f>
        <v>1193</v>
      </c>
      <c r="G396" s="329"/>
      <c r="H396" s="329">
        <f t="shared" si="41"/>
        <v>1193</v>
      </c>
      <c r="I396" s="71"/>
      <c r="J396" s="71"/>
      <c r="K396" s="71"/>
      <c r="L396" s="71"/>
    </row>
    <row r="397" spans="1:12" s="26" customFormat="1" ht="15" customHeight="1" x14ac:dyDescent="0.2">
      <c r="A397" s="1592"/>
      <c r="B397" s="1593"/>
      <c r="C397" s="1594"/>
      <c r="D397" s="1585" t="s">
        <v>55</v>
      </c>
      <c r="E397" s="156" t="s">
        <v>66</v>
      </c>
      <c r="F397" s="329"/>
      <c r="G397" s="329"/>
      <c r="H397" s="329"/>
      <c r="I397" s="71"/>
      <c r="J397" s="71"/>
      <c r="K397" s="71"/>
      <c r="L397" s="71"/>
    </row>
    <row r="398" spans="1:12" s="26" customFormat="1" ht="15" customHeight="1" x14ac:dyDescent="0.2">
      <c r="A398" s="1592"/>
      <c r="B398" s="1593"/>
      <c r="C398" s="1594"/>
      <c r="D398" s="1585"/>
      <c r="E398" s="322" t="s">
        <v>254</v>
      </c>
      <c r="F398" s="329">
        <v>500</v>
      </c>
      <c r="G398" s="329"/>
      <c r="H398" s="329">
        <f t="shared" si="41"/>
        <v>500</v>
      </c>
      <c r="I398" s="71"/>
      <c r="J398" s="71"/>
      <c r="K398" s="71"/>
      <c r="L398" s="71"/>
    </row>
    <row r="399" spans="1:12" s="26" customFormat="1" ht="15" customHeight="1" x14ac:dyDescent="0.2">
      <c r="A399" s="1592"/>
      <c r="B399" s="1593"/>
      <c r="C399" s="1594"/>
      <c r="D399" s="1585"/>
      <c r="E399" s="322" t="s">
        <v>255</v>
      </c>
      <c r="F399" s="329">
        <v>827</v>
      </c>
      <c r="G399" s="329"/>
      <c r="H399" s="329">
        <f t="shared" si="41"/>
        <v>827</v>
      </c>
      <c r="I399" s="71"/>
      <c r="J399" s="71"/>
      <c r="K399" s="71"/>
      <c r="L399" s="71"/>
    </row>
    <row r="400" spans="1:12" s="26" customFormat="1" ht="15" customHeight="1" x14ac:dyDescent="0.2">
      <c r="A400" s="1592"/>
      <c r="B400" s="1593"/>
      <c r="C400" s="1594"/>
      <c r="D400" s="1585"/>
      <c r="E400" s="322" t="s">
        <v>256</v>
      </c>
      <c r="F400" s="329">
        <v>634</v>
      </c>
      <c r="G400" s="329"/>
      <c r="H400" s="329">
        <f t="shared" si="41"/>
        <v>634</v>
      </c>
      <c r="I400" s="71"/>
      <c r="J400" s="71"/>
      <c r="K400" s="71"/>
      <c r="L400" s="71"/>
    </row>
    <row r="401" spans="1:12" s="26" customFormat="1" ht="15" customHeight="1" x14ac:dyDescent="0.2">
      <c r="A401" s="1592"/>
      <c r="B401" s="1593"/>
      <c r="C401" s="1594"/>
      <c r="D401" s="1585"/>
      <c r="E401" s="340" t="s">
        <v>189</v>
      </c>
      <c r="F401" s="329"/>
      <c r="G401" s="329"/>
      <c r="H401" s="329"/>
      <c r="I401" s="71"/>
      <c r="J401" s="71"/>
      <c r="K401" s="71"/>
      <c r="L401" s="71"/>
    </row>
    <row r="402" spans="1:12" s="26" customFormat="1" ht="15" customHeight="1" x14ac:dyDescent="0.2">
      <c r="A402" s="1592"/>
      <c r="B402" s="1593"/>
      <c r="C402" s="1594"/>
      <c r="D402" s="1585"/>
      <c r="E402" s="322" t="s">
        <v>254</v>
      </c>
      <c r="F402" s="329">
        <f>F406+F410</f>
        <v>1000</v>
      </c>
      <c r="G402" s="329">
        <f>G406+G410</f>
        <v>0</v>
      </c>
      <c r="H402" s="329">
        <f t="shared" si="41"/>
        <v>1000</v>
      </c>
      <c r="I402" s="71"/>
      <c r="J402" s="71"/>
      <c r="K402" s="71"/>
      <c r="L402" s="71"/>
    </row>
    <row r="403" spans="1:12" s="26" customFormat="1" ht="15" customHeight="1" x14ac:dyDescent="0.2">
      <c r="A403" s="1592"/>
      <c r="B403" s="1593"/>
      <c r="C403" s="1594"/>
      <c r="D403" s="1585"/>
      <c r="E403" s="322" t="s">
        <v>255</v>
      </c>
      <c r="F403" s="329">
        <f t="shared" ref="F403:F404" si="72">F407+F411</f>
        <v>1000</v>
      </c>
      <c r="G403" s="329">
        <f t="shared" ref="G403:G404" si="73">G407+G411</f>
        <v>0</v>
      </c>
      <c r="H403" s="329">
        <f t="shared" si="41"/>
        <v>1000</v>
      </c>
      <c r="I403" s="71"/>
      <c r="J403" s="71"/>
      <c r="K403" s="71"/>
      <c r="L403" s="71"/>
    </row>
    <row r="404" spans="1:12" s="26" customFormat="1" ht="15" customHeight="1" x14ac:dyDescent="0.2">
      <c r="A404" s="1592"/>
      <c r="B404" s="1593"/>
      <c r="C404" s="1594"/>
      <c r="D404" s="1585"/>
      <c r="E404" s="322" t="s">
        <v>256</v>
      </c>
      <c r="F404" s="329">
        <f t="shared" si="72"/>
        <v>615</v>
      </c>
      <c r="G404" s="329">
        <f t="shared" si="73"/>
        <v>0</v>
      </c>
      <c r="H404" s="329">
        <f t="shared" si="41"/>
        <v>615</v>
      </c>
      <c r="I404" s="71"/>
      <c r="J404" s="71"/>
      <c r="K404" s="71"/>
      <c r="L404" s="71"/>
    </row>
    <row r="405" spans="1:12" s="26" customFormat="1" ht="15" customHeight="1" x14ac:dyDescent="0.2">
      <c r="A405" s="1592"/>
      <c r="B405" s="1593"/>
      <c r="C405" s="1594"/>
      <c r="D405" s="1585" t="s">
        <v>54</v>
      </c>
      <c r="E405" s="671" t="s">
        <v>65</v>
      </c>
      <c r="F405" s="329"/>
      <c r="G405" s="329"/>
      <c r="H405" s="329"/>
      <c r="I405" s="71"/>
      <c r="J405" s="71"/>
      <c r="K405" s="71"/>
      <c r="L405" s="71"/>
    </row>
    <row r="406" spans="1:12" s="26" customFormat="1" ht="15" customHeight="1" x14ac:dyDescent="0.2">
      <c r="A406" s="1592"/>
      <c r="B406" s="1593"/>
      <c r="C406" s="1594"/>
      <c r="D406" s="1585"/>
      <c r="E406" s="322" t="s">
        <v>254</v>
      </c>
      <c r="F406" s="329">
        <v>1000</v>
      </c>
      <c r="G406" s="329"/>
      <c r="H406" s="329">
        <f t="shared" si="41"/>
        <v>1000</v>
      </c>
      <c r="I406" s="71"/>
      <c r="J406" s="71"/>
      <c r="K406" s="71"/>
      <c r="L406" s="71"/>
    </row>
    <row r="407" spans="1:12" s="26" customFormat="1" ht="15" customHeight="1" x14ac:dyDescent="0.2">
      <c r="A407" s="1592"/>
      <c r="B407" s="1593"/>
      <c r="C407" s="1594"/>
      <c r="D407" s="1585"/>
      <c r="E407" s="322" t="s">
        <v>255</v>
      </c>
      <c r="F407" s="329">
        <v>1000</v>
      </c>
      <c r="G407" s="329"/>
      <c r="H407" s="329">
        <f t="shared" si="41"/>
        <v>1000</v>
      </c>
      <c r="I407" s="71"/>
      <c r="J407" s="71"/>
      <c r="K407" s="71"/>
      <c r="L407" s="71"/>
    </row>
    <row r="408" spans="1:12" s="26" customFormat="1" ht="15" customHeight="1" x14ac:dyDescent="0.2">
      <c r="A408" s="1592"/>
      <c r="B408" s="1593"/>
      <c r="C408" s="1594"/>
      <c r="D408" s="1585"/>
      <c r="E408" s="322" t="s">
        <v>256</v>
      </c>
      <c r="F408" s="329">
        <v>615</v>
      </c>
      <c r="G408" s="329"/>
      <c r="H408" s="329">
        <f t="shared" si="41"/>
        <v>615</v>
      </c>
      <c r="I408" s="71"/>
      <c r="J408" s="71"/>
      <c r="K408" s="71"/>
      <c r="L408" s="71"/>
    </row>
    <row r="409" spans="1:12" s="26" customFormat="1" ht="15" customHeight="1" x14ac:dyDescent="0.2">
      <c r="A409" s="1592"/>
      <c r="B409" s="1593"/>
      <c r="C409" s="1594"/>
      <c r="D409" s="1585" t="s">
        <v>55</v>
      </c>
      <c r="E409" s="156" t="s">
        <v>66</v>
      </c>
      <c r="F409" s="329"/>
      <c r="G409" s="329"/>
      <c r="H409" s="329"/>
      <c r="I409" s="71"/>
      <c r="J409" s="71"/>
      <c r="K409" s="71"/>
      <c r="L409" s="71"/>
    </row>
    <row r="410" spans="1:12" s="26" customFormat="1" ht="15" customHeight="1" x14ac:dyDescent="0.2">
      <c r="A410" s="1592"/>
      <c r="B410" s="1593"/>
      <c r="C410" s="1594"/>
      <c r="D410" s="1585"/>
      <c r="E410" s="322" t="s">
        <v>254</v>
      </c>
      <c r="F410" s="329"/>
      <c r="G410" s="329"/>
      <c r="H410" s="329">
        <f t="shared" ref="H410:H412" si="74">F410</f>
        <v>0</v>
      </c>
      <c r="I410" s="71"/>
      <c r="J410" s="71"/>
      <c r="K410" s="71"/>
      <c r="L410" s="71"/>
    </row>
    <row r="411" spans="1:12" s="26" customFormat="1" ht="15" customHeight="1" x14ac:dyDescent="0.2">
      <c r="A411" s="1592"/>
      <c r="B411" s="1593"/>
      <c r="C411" s="1594"/>
      <c r="D411" s="1585"/>
      <c r="E411" s="322" t="s">
        <v>255</v>
      </c>
      <c r="F411" s="329"/>
      <c r="G411" s="329"/>
      <c r="H411" s="329">
        <f t="shared" si="74"/>
        <v>0</v>
      </c>
      <c r="I411" s="71"/>
      <c r="J411" s="71"/>
      <c r="K411" s="71"/>
      <c r="L411" s="71"/>
    </row>
    <row r="412" spans="1:12" s="26" customFormat="1" ht="15" customHeight="1" x14ac:dyDescent="0.2">
      <c r="A412" s="1595"/>
      <c r="B412" s="1596"/>
      <c r="C412" s="1597"/>
      <c r="D412" s="1585"/>
      <c r="E412" s="322" t="s">
        <v>256</v>
      </c>
      <c r="F412" s="329"/>
      <c r="G412" s="329"/>
      <c r="H412" s="329">
        <f t="shared" si="74"/>
        <v>0</v>
      </c>
      <c r="I412" s="71"/>
      <c r="J412" s="71"/>
      <c r="K412" s="71"/>
      <c r="L412" s="71"/>
    </row>
    <row r="413" spans="1:12" s="26" customFormat="1" ht="15" customHeight="1" x14ac:dyDescent="0.2">
      <c r="A413" s="1616">
        <v>9</v>
      </c>
      <c r="B413" s="1616"/>
      <c r="C413" s="1616" t="s">
        <v>247</v>
      </c>
      <c r="D413" s="1616"/>
      <c r="E413" s="339" t="s">
        <v>142</v>
      </c>
      <c r="F413" s="328"/>
      <c r="G413" s="328"/>
      <c r="H413" s="328">
        <f>SUM(F413:G413)</f>
        <v>0</v>
      </c>
      <c r="I413" s="71"/>
      <c r="J413" s="71"/>
      <c r="K413" s="71"/>
      <c r="L413" s="71"/>
    </row>
    <row r="414" spans="1:12" s="26" customFormat="1" ht="15" customHeight="1" x14ac:dyDescent="0.2">
      <c r="A414" s="1616"/>
      <c r="B414" s="1616"/>
      <c r="C414" s="1616"/>
      <c r="D414" s="1616"/>
      <c r="E414" s="321" t="s">
        <v>254</v>
      </c>
      <c r="F414" s="328">
        <f>F418+F422</f>
        <v>2000</v>
      </c>
      <c r="G414" s="328">
        <f>G418+G422</f>
        <v>0</v>
      </c>
      <c r="H414" s="328">
        <f t="shared" ref="H414:H424" si="75">SUM(F414:G414)</f>
        <v>2000</v>
      </c>
      <c r="I414" s="71"/>
      <c r="J414" s="71"/>
      <c r="K414" s="71"/>
      <c r="L414" s="71"/>
    </row>
    <row r="415" spans="1:12" s="26" customFormat="1" ht="15" customHeight="1" x14ac:dyDescent="0.2">
      <c r="A415" s="1616"/>
      <c r="B415" s="1616"/>
      <c r="C415" s="1616"/>
      <c r="D415" s="1616"/>
      <c r="E415" s="321" t="s">
        <v>255</v>
      </c>
      <c r="F415" s="328">
        <f t="shared" ref="F415:G416" si="76">F419+F423</f>
        <v>173364</v>
      </c>
      <c r="G415" s="328">
        <f t="shared" si="76"/>
        <v>0</v>
      </c>
      <c r="H415" s="328">
        <f t="shared" si="75"/>
        <v>173364</v>
      </c>
      <c r="I415" s="71"/>
      <c r="J415" s="71"/>
      <c r="K415" s="71"/>
      <c r="L415" s="71"/>
    </row>
    <row r="416" spans="1:12" s="26" customFormat="1" ht="15" customHeight="1" x14ac:dyDescent="0.2">
      <c r="A416" s="1616"/>
      <c r="B416" s="1616"/>
      <c r="C416" s="1616"/>
      <c r="D416" s="1616"/>
      <c r="E416" s="321" t="s">
        <v>256</v>
      </c>
      <c r="F416" s="328">
        <f t="shared" si="76"/>
        <v>173364</v>
      </c>
      <c r="G416" s="328">
        <f t="shared" si="76"/>
        <v>0</v>
      </c>
      <c r="H416" s="328">
        <f t="shared" si="75"/>
        <v>173364</v>
      </c>
      <c r="I416" s="71"/>
      <c r="J416" s="71"/>
      <c r="K416" s="71"/>
      <c r="L416" s="71"/>
    </row>
    <row r="417" spans="1:12" s="26" customFormat="1" ht="15" customHeight="1" x14ac:dyDescent="0.2">
      <c r="A417" s="1616"/>
      <c r="B417" s="1616"/>
      <c r="C417" s="1616"/>
      <c r="D417" s="1616"/>
      <c r="E417" s="337" t="s">
        <v>65</v>
      </c>
      <c r="F417" s="328"/>
      <c r="G417" s="328"/>
      <c r="H417" s="328"/>
      <c r="I417" s="71"/>
      <c r="J417" s="71"/>
      <c r="K417" s="71"/>
      <c r="L417" s="71"/>
    </row>
    <row r="418" spans="1:12" s="26" customFormat="1" ht="15" customHeight="1" x14ac:dyDescent="0.2">
      <c r="A418" s="1616"/>
      <c r="B418" s="1616"/>
      <c r="C418" s="1616"/>
      <c r="D418" s="1616"/>
      <c r="E418" s="321" t="s">
        <v>254</v>
      </c>
      <c r="F418" s="328">
        <f>F430+F442+F454</f>
        <v>2000</v>
      </c>
      <c r="G418" s="328">
        <f>G430+G442+G454</f>
        <v>0</v>
      </c>
      <c r="H418" s="328">
        <f t="shared" si="75"/>
        <v>2000</v>
      </c>
      <c r="I418" s="71"/>
      <c r="J418" s="71"/>
      <c r="K418" s="71"/>
      <c r="L418" s="71"/>
    </row>
    <row r="419" spans="1:12" s="26" customFormat="1" ht="15" customHeight="1" x14ac:dyDescent="0.2">
      <c r="A419" s="1616"/>
      <c r="B419" s="1616"/>
      <c r="C419" s="1616"/>
      <c r="D419" s="1616"/>
      <c r="E419" s="321" t="s">
        <v>255</v>
      </c>
      <c r="F419" s="328">
        <f t="shared" ref="F419:G420" si="77">F431+F443+F455</f>
        <v>123844</v>
      </c>
      <c r="G419" s="328">
        <f t="shared" si="77"/>
        <v>0</v>
      </c>
      <c r="H419" s="328">
        <f t="shared" si="75"/>
        <v>123844</v>
      </c>
      <c r="I419" s="71"/>
      <c r="J419" s="71"/>
      <c r="K419" s="71"/>
      <c r="L419" s="71"/>
    </row>
    <row r="420" spans="1:12" s="26" customFormat="1" ht="15" customHeight="1" x14ac:dyDescent="0.2">
      <c r="A420" s="1616"/>
      <c r="B420" s="1616"/>
      <c r="C420" s="1616"/>
      <c r="D420" s="1616"/>
      <c r="E420" s="321" t="s">
        <v>256</v>
      </c>
      <c r="F420" s="328">
        <f>F432+F444+F456</f>
        <v>123844</v>
      </c>
      <c r="G420" s="328">
        <f t="shared" si="77"/>
        <v>0</v>
      </c>
      <c r="H420" s="328">
        <f t="shared" si="75"/>
        <v>123844</v>
      </c>
      <c r="I420" s="71"/>
      <c r="J420" s="71"/>
      <c r="K420" s="71"/>
      <c r="L420" s="71"/>
    </row>
    <row r="421" spans="1:12" s="26" customFormat="1" ht="15" customHeight="1" x14ac:dyDescent="0.2">
      <c r="A421" s="1616"/>
      <c r="B421" s="1616"/>
      <c r="C421" s="1616"/>
      <c r="D421" s="1616"/>
      <c r="E421" s="338" t="s">
        <v>66</v>
      </c>
      <c r="F421" s="328"/>
      <c r="G421" s="328"/>
      <c r="H421" s="328"/>
      <c r="I421" s="71"/>
      <c r="J421" s="71"/>
      <c r="K421" s="71"/>
      <c r="L421" s="71"/>
    </row>
    <row r="422" spans="1:12" s="26" customFormat="1" ht="15" customHeight="1" x14ac:dyDescent="0.2">
      <c r="A422" s="1616"/>
      <c r="B422" s="1616"/>
      <c r="C422" s="1616"/>
      <c r="D422" s="1616"/>
      <c r="E422" s="321" t="s">
        <v>254</v>
      </c>
      <c r="F422" s="328">
        <f>F434+F446+F458</f>
        <v>0</v>
      </c>
      <c r="G422" s="328">
        <f>G434+G446+G458</f>
        <v>0</v>
      </c>
      <c r="H422" s="328">
        <f t="shared" si="75"/>
        <v>0</v>
      </c>
      <c r="I422" s="71"/>
      <c r="J422" s="71"/>
      <c r="K422" s="71"/>
      <c r="L422" s="71"/>
    </row>
    <row r="423" spans="1:12" s="26" customFormat="1" ht="15" customHeight="1" x14ac:dyDescent="0.2">
      <c r="A423" s="1616"/>
      <c r="B423" s="1616"/>
      <c r="C423" s="1616"/>
      <c r="D423" s="1616"/>
      <c r="E423" s="321" t="s">
        <v>255</v>
      </c>
      <c r="F423" s="328">
        <f t="shared" ref="F423:G424" si="78">F435+F447+F459</f>
        <v>49520</v>
      </c>
      <c r="G423" s="328">
        <f t="shared" si="78"/>
        <v>0</v>
      </c>
      <c r="H423" s="328">
        <f t="shared" si="75"/>
        <v>49520</v>
      </c>
      <c r="I423" s="71"/>
      <c r="J423" s="71"/>
      <c r="K423" s="71"/>
      <c r="L423" s="71"/>
    </row>
    <row r="424" spans="1:12" s="26" customFormat="1" ht="15" customHeight="1" x14ac:dyDescent="0.2">
      <c r="A424" s="1616"/>
      <c r="B424" s="1616"/>
      <c r="C424" s="1616"/>
      <c r="D424" s="1616"/>
      <c r="E424" s="321" t="s">
        <v>256</v>
      </c>
      <c r="F424" s="328">
        <f t="shared" si="78"/>
        <v>49520</v>
      </c>
      <c r="G424" s="328">
        <f t="shared" si="78"/>
        <v>0</v>
      </c>
      <c r="H424" s="328">
        <f t="shared" si="75"/>
        <v>49520</v>
      </c>
      <c r="I424" s="71"/>
      <c r="J424" s="71"/>
      <c r="K424" s="71"/>
      <c r="L424" s="71"/>
    </row>
    <row r="425" spans="1:12" s="26" customFormat="1" ht="15" customHeight="1" x14ac:dyDescent="0.2">
      <c r="A425" s="1606"/>
      <c r="B425" s="1606"/>
      <c r="C425" s="1606"/>
      <c r="D425" s="1585"/>
      <c r="E425" s="125" t="s">
        <v>207</v>
      </c>
      <c r="F425" s="329"/>
      <c r="G425" s="329"/>
      <c r="H425" s="329"/>
      <c r="I425" s="71"/>
      <c r="J425" s="71"/>
      <c r="K425" s="71"/>
      <c r="L425" s="71"/>
    </row>
    <row r="426" spans="1:12" s="26" customFormat="1" ht="15" customHeight="1" x14ac:dyDescent="0.2">
      <c r="A426" s="1606"/>
      <c r="B426" s="1606"/>
      <c r="C426" s="1606"/>
      <c r="D426" s="1585"/>
      <c r="E426" s="322" t="s">
        <v>254</v>
      </c>
      <c r="F426" s="329">
        <f>F430+F434</f>
        <v>0</v>
      </c>
      <c r="G426" s="329">
        <f>G430+G434</f>
        <v>0</v>
      </c>
      <c r="H426" s="329">
        <f>SUM(F426:G426)</f>
        <v>0</v>
      </c>
      <c r="I426" s="71"/>
      <c r="J426" s="71"/>
      <c r="K426" s="71"/>
      <c r="L426" s="71"/>
    </row>
    <row r="427" spans="1:12" s="26" customFormat="1" ht="15" customHeight="1" x14ac:dyDescent="0.2">
      <c r="A427" s="1606"/>
      <c r="B427" s="1606"/>
      <c r="C427" s="1606"/>
      <c r="D427" s="1585"/>
      <c r="E427" s="322" t="s">
        <v>255</v>
      </c>
      <c r="F427" s="329">
        <f t="shared" ref="F427:G428" si="79">F431+F435</f>
        <v>116931</v>
      </c>
      <c r="G427" s="329">
        <f t="shared" si="79"/>
        <v>0</v>
      </c>
      <c r="H427" s="329">
        <f t="shared" ref="H427:H459" si="80">SUM(F427:G427)</f>
        <v>116931</v>
      </c>
      <c r="I427" s="71"/>
      <c r="J427" s="71"/>
      <c r="K427" s="71"/>
      <c r="L427" s="71"/>
    </row>
    <row r="428" spans="1:12" s="26" customFormat="1" ht="15" customHeight="1" x14ac:dyDescent="0.2">
      <c r="A428" s="1606"/>
      <c r="B428" s="1606"/>
      <c r="C428" s="1606"/>
      <c r="D428" s="1585"/>
      <c r="E428" s="322" t="s">
        <v>256</v>
      </c>
      <c r="F428" s="329">
        <f t="shared" si="79"/>
        <v>116931</v>
      </c>
      <c r="G428" s="329">
        <f t="shared" si="79"/>
        <v>0</v>
      </c>
      <c r="H428" s="329">
        <f t="shared" si="80"/>
        <v>116931</v>
      </c>
      <c r="I428" s="71"/>
      <c r="J428" s="71"/>
      <c r="K428" s="71"/>
      <c r="L428" s="71"/>
    </row>
    <row r="429" spans="1:12" s="26" customFormat="1" ht="15" customHeight="1" x14ac:dyDescent="0.2">
      <c r="A429" s="1606"/>
      <c r="B429" s="1606"/>
      <c r="C429" s="1606"/>
      <c r="D429" s="1585" t="s">
        <v>54</v>
      </c>
      <c r="E429" s="122" t="s">
        <v>65</v>
      </c>
      <c r="F429" s="329"/>
      <c r="G429" s="329"/>
      <c r="H429" s="329">
        <f t="shared" si="80"/>
        <v>0</v>
      </c>
      <c r="I429" s="71"/>
      <c r="J429" s="71"/>
      <c r="K429" s="71"/>
      <c r="L429" s="71"/>
    </row>
    <row r="430" spans="1:12" s="26" customFormat="1" ht="15" customHeight="1" x14ac:dyDescent="0.2">
      <c r="A430" s="1606"/>
      <c r="B430" s="1606"/>
      <c r="C430" s="1606"/>
      <c r="D430" s="1585"/>
      <c r="E430" s="322" t="s">
        <v>254</v>
      </c>
      <c r="F430" s="329">
        <v>0</v>
      </c>
      <c r="G430" s="329"/>
      <c r="H430" s="329">
        <f t="shared" si="80"/>
        <v>0</v>
      </c>
      <c r="I430" s="71"/>
      <c r="J430" s="71"/>
      <c r="K430" s="71"/>
      <c r="L430" s="71"/>
    </row>
    <row r="431" spans="1:12" s="26" customFormat="1" ht="15" customHeight="1" x14ac:dyDescent="0.2">
      <c r="A431" s="1606"/>
      <c r="B431" s="1606"/>
      <c r="C431" s="1606"/>
      <c r="D431" s="1585"/>
      <c r="E431" s="322" t="s">
        <v>255</v>
      </c>
      <c r="F431" s="329">
        <v>116931</v>
      </c>
      <c r="G431" s="329"/>
      <c r="H431" s="329">
        <f t="shared" si="80"/>
        <v>116931</v>
      </c>
      <c r="I431" s="71"/>
      <c r="J431" s="71"/>
      <c r="K431" s="71"/>
      <c r="L431" s="71"/>
    </row>
    <row r="432" spans="1:12" s="26" customFormat="1" ht="15" customHeight="1" x14ac:dyDescent="0.2">
      <c r="A432" s="1606"/>
      <c r="B432" s="1606"/>
      <c r="C432" s="1606"/>
      <c r="D432" s="1585"/>
      <c r="E432" s="322" t="s">
        <v>256</v>
      </c>
      <c r="F432" s="329">
        <v>116931</v>
      </c>
      <c r="G432" s="329"/>
      <c r="H432" s="329">
        <f t="shared" si="80"/>
        <v>116931</v>
      </c>
      <c r="I432" s="71"/>
      <c r="J432" s="71"/>
      <c r="K432" s="71"/>
      <c r="L432" s="71"/>
    </row>
    <row r="433" spans="1:12" s="26" customFormat="1" ht="15" customHeight="1" x14ac:dyDescent="0.2">
      <c r="A433" s="1606"/>
      <c r="B433" s="1606"/>
      <c r="C433" s="1606"/>
      <c r="D433" s="1586" t="s">
        <v>55</v>
      </c>
      <c r="E433" s="123" t="s">
        <v>66</v>
      </c>
      <c r="F433" s="329"/>
      <c r="G433" s="329"/>
      <c r="H433" s="329">
        <f t="shared" si="80"/>
        <v>0</v>
      </c>
      <c r="I433" s="71"/>
      <c r="J433" s="71"/>
      <c r="K433" s="71"/>
      <c r="L433" s="71"/>
    </row>
    <row r="434" spans="1:12" s="26" customFormat="1" ht="15" customHeight="1" x14ac:dyDescent="0.2">
      <c r="A434" s="1606"/>
      <c r="B434" s="1606"/>
      <c r="C434" s="1606"/>
      <c r="D434" s="1587"/>
      <c r="E434" s="322" t="s">
        <v>254</v>
      </c>
      <c r="F434" s="329"/>
      <c r="G434" s="329"/>
      <c r="H434" s="329">
        <f t="shared" si="80"/>
        <v>0</v>
      </c>
      <c r="I434" s="71"/>
      <c r="J434" s="71"/>
      <c r="K434" s="71"/>
      <c r="L434" s="71"/>
    </row>
    <row r="435" spans="1:12" s="26" customFormat="1" ht="15" customHeight="1" x14ac:dyDescent="0.2">
      <c r="A435" s="1606"/>
      <c r="B435" s="1606"/>
      <c r="C435" s="1606"/>
      <c r="D435" s="1587"/>
      <c r="E435" s="322" t="s">
        <v>255</v>
      </c>
      <c r="F435" s="329"/>
      <c r="G435" s="329"/>
      <c r="H435" s="329">
        <f t="shared" si="80"/>
        <v>0</v>
      </c>
      <c r="I435" s="71"/>
      <c r="J435" s="71"/>
      <c r="K435" s="71"/>
      <c r="L435" s="71"/>
    </row>
    <row r="436" spans="1:12" s="26" customFormat="1" ht="15" customHeight="1" x14ac:dyDescent="0.2">
      <c r="A436" s="1606"/>
      <c r="B436" s="1606"/>
      <c r="C436" s="1606"/>
      <c r="D436" s="1588"/>
      <c r="E436" s="322" t="s">
        <v>256</v>
      </c>
      <c r="F436" s="329"/>
      <c r="G436" s="329"/>
      <c r="H436" s="329">
        <f t="shared" si="80"/>
        <v>0</v>
      </c>
      <c r="I436" s="71"/>
      <c r="J436" s="71"/>
      <c r="K436" s="71"/>
      <c r="L436" s="71"/>
    </row>
    <row r="437" spans="1:12" s="26" customFormat="1" ht="15" customHeight="1" x14ac:dyDescent="0.2">
      <c r="A437" s="1606"/>
      <c r="B437" s="1606"/>
      <c r="C437" s="1606"/>
      <c r="D437" s="1586"/>
      <c r="E437" s="197" t="s">
        <v>188</v>
      </c>
      <c r="F437" s="329">
        <f>F442+F446</f>
        <v>0</v>
      </c>
      <c r="G437" s="329">
        <f>G442+G446</f>
        <v>0</v>
      </c>
      <c r="H437" s="329"/>
      <c r="I437" s="71"/>
      <c r="J437" s="71"/>
      <c r="K437" s="71"/>
      <c r="L437" s="71"/>
    </row>
    <row r="438" spans="1:12" s="26" customFormat="1" ht="15" customHeight="1" x14ac:dyDescent="0.2">
      <c r="A438" s="1606"/>
      <c r="B438" s="1606"/>
      <c r="C438" s="1606"/>
      <c r="D438" s="1587"/>
      <c r="E438" s="322" t="s">
        <v>254</v>
      </c>
      <c r="F438" s="329">
        <f t="shared" ref="F438" si="81">F443+F447</f>
        <v>52155</v>
      </c>
      <c r="G438" s="329">
        <f t="shared" ref="G438:G439" si="82">G443+G447</f>
        <v>0</v>
      </c>
      <c r="H438" s="329">
        <f t="shared" si="80"/>
        <v>52155</v>
      </c>
      <c r="I438" s="71"/>
      <c r="J438" s="71"/>
      <c r="K438" s="71"/>
      <c r="L438" s="71"/>
    </row>
    <row r="439" spans="1:12" s="26" customFormat="1" ht="15" customHeight="1" x14ac:dyDescent="0.2">
      <c r="A439" s="1606"/>
      <c r="B439" s="1606"/>
      <c r="C439" s="1606"/>
      <c r="D439" s="1587"/>
      <c r="E439" s="322" t="s">
        <v>255</v>
      </c>
      <c r="F439" s="329">
        <f>F444+F448</f>
        <v>52155</v>
      </c>
      <c r="G439" s="329">
        <f t="shared" si="82"/>
        <v>0</v>
      </c>
      <c r="H439" s="329">
        <f t="shared" si="80"/>
        <v>52155</v>
      </c>
      <c r="I439" s="71"/>
      <c r="J439" s="71"/>
      <c r="K439" s="71"/>
      <c r="L439" s="71"/>
    </row>
    <row r="440" spans="1:12" s="26" customFormat="1" ht="15" customHeight="1" x14ac:dyDescent="0.2">
      <c r="A440" s="1606"/>
      <c r="B440" s="1606"/>
      <c r="C440" s="1606"/>
      <c r="D440" s="1588"/>
      <c r="E440" s="322" t="s">
        <v>256</v>
      </c>
      <c r="F440" s="329"/>
      <c r="G440" s="329"/>
      <c r="H440" s="329">
        <f t="shared" si="80"/>
        <v>0</v>
      </c>
      <c r="I440" s="71"/>
      <c r="J440" s="71"/>
      <c r="K440" s="71"/>
      <c r="L440" s="71"/>
    </row>
    <row r="441" spans="1:12" s="26" customFormat="1" ht="15" customHeight="1" x14ac:dyDescent="0.2">
      <c r="A441" s="1606"/>
      <c r="B441" s="1606"/>
      <c r="C441" s="1606"/>
      <c r="D441" s="1586" t="s">
        <v>54</v>
      </c>
      <c r="E441" s="124" t="s">
        <v>65</v>
      </c>
      <c r="F441" s="329"/>
      <c r="G441" s="329"/>
      <c r="H441" s="329">
        <f t="shared" si="80"/>
        <v>0</v>
      </c>
      <c r="I441" s="71"/>
      <c r="J441" s="71"/>
      <c r="K441" s="71"/>
      <c r="L441" s="71"/>
    </row>
    <row r="442" spans="1:12" s="26" customFormat="1" ht="15" customHeight="1" x14ac:dyDescent="0.2">
      <c r="A442" s="1606"/>
      <c r="B442" s="1606"/>
      <c r="C442" s="1606"/>
      <c r="D442" s="1587"/>
      <c r="E442" s="322" t="s">
        <v>254</v>
      </c>
      <c r="F442" s="329">
        <v>0</v>
      </c>
      <c r="G442" s="329"/>
      <c r="H442" s="329">
        <f t="shared" si="80"/>
        <v>0</v>
      </c>
      <c r="I442" s="71"/>
      <c r="J442" s="71"/>
      <c r="K442" s="71"/>
      <c r="L442" s="71"/>
    </row>
    <row r="443" spans="1:12" s="26" customFormat="1" ht="15" customHeight="1" x14ac:dyDescent="0.2">
      <c r="A443" s="1606"/>
      <c r="B443" s="1606"/>
      <c r="C443" s="1606"/>
      <c r="D443" s="1587"/>
      <c r="E443" s="322" t="s">
        <v>255</v>
      </c>
      <c r="F443" s="329">
        <v>2635</v>
      </c>
      <c r="G443" s="329"/>
      <c r="H443" s="329">
        <f t="shared" si="80"/>
        <v>2635</v>
      </c>
      <c r="I443" s="71"/>
      <c r="J443" s="71"/>
      <c r="K443" s="71"/>
      <c r="L443" s="71"/>
    </row>
    <row r="444" spans="1:12" s="26" customFormat="1" ht="15" customHeight="1" x14ac:dyDescent="0.2">
      <c r="A444" s="1606"/>
      <c r="B444" s="1606"/>
      <c r="C444" s="1606"/>
      <c r="D444" s="1588"/>
      <c r="E444" s="322" t="s">
        <v>256</v>
      </c>
      <c r="F444" s="329">
        <f>2223+412</f>
        <v>2635</v>
      </c>
      <c r="G444" s="329"/>
      <c r="H444" s="329">
        <f t="shared" si="80"/>
        <v>2635</v>
      </c>
      <c r="I444" s="71"/>
      <c r="J444" s="71"/>
      <c r="K444" s="71"/>
      <c r="L444" s="71"/>
    </row>
    <row r="445" spans="1:12" s="26" customFormat="1" ht="16.5" customHeight="1" x14ac:dyDescent="0.2">
      <c r="A445" s="1606"/>
      <c r="B445" s="1606"/>
      <c r="C445" s="1606"/>
      <c r="D445" s="1586" t="s">
        <v>55</v>
      </c>
      <c r="E445" s="123" t="s">
        <v>66</v>
      </c>
      <c r="F445" s="329"/>
      <c r="G445" s="329"/>
      <c r="H445" s="329">
        <f t="shared" si="80"/>
        <v>0</v>
      </c>
      <c r="I445" s="71"/>
      <c r="J445" s="71"/>
      <c r="K445" s="71"/>
      <c r="L445" s="71"/>
    </row>
    <row r="446" spans="1:12" s="26" customFormat="1" ht="16.5" customHeight="1" x14ac:dyDescent="0.2">
      <c r="A446" s="1606"/>
      <c r="B446" s="1606"/>
      <c r="C446" s="1606"/>
      <c r="D446" s="1587"/>
      <c r="E446" s="322" t="s">
        <v>254</v>
      </c>
      <c r="F446" s="329">
        <v>0</v>
      </c>
      <c r="G446" s="329"/>
      <c r="H446" s="329">
        <f t="shared" si="80"/>
        <v>0</v>
      </c>
      <c r="I446" s="71"/>
      <c r="J446" s="71"/>
      <c r="K446" s="71"/>
      <c r="L446" s="71"/>
    </row>
    <row r="447" spans="1:12" s="26" customFormat="1" ht="16.5" customHeight="1" x14ac:dyDescent="0.2">
      <c r="A447" s="1606"/>
      <c r="B447" s="1606"/>
      <c r="C447" s="1606"/>
      <c r="D447" s="1587"/>
      <c r="E447" s="322" t="s">
        <v>255</v>
      </c>
      <c r="F447" s="329">
        <v>49520</v>
      </c>
      <c r="G447" s="329"/>
      <c r="H447" s="329">
        <f t="shared" si="80"/>
        <v>49520</v>
      </c>
      <c r="I447" s="71"/>
      <c r="J447" s="71"/>
      <c r="K447" s="71"/>
      <c r="L447" s="71"/>
    </row>
    <row r="448" spans="1:12" s="26" customFormat="1" ht="16.5" customHeight="1" x14ac:dyDescent="0.2">
      <c r="A448" s="1606"/>
      <c r="B448" s="1606"/>
      <c r="C448" s="1606"/>
      <c r="D448" s="1588"/>
      <c r="E448" s="322" t="s">
        <v>256</v>
      </c>
      <c r="F448" s="329">
        <f>48588+932</f>
        <v>49520</v>
      </c>
      <c r="G448" s="329"/>
      <c r="H448" s="329">
        <f t="shared" si="80"/>
        <v>49520</v>
      </c>
      <c r="I448" s="71"/>
      <c r="J448" s="71"/>
      <c r="K448" s="71"/>
      <c r="L448" s="71"/>
    </row>
    <row r="449" spans="1:12" s="26" customFormat="1" ht="15" customHeight="1" x14ac:dyDescent="0.2">
      <c r="A449" s="1606"/>
      <c r="B449" s="1606"/>
      <c r="C449" s="1606"/>
      <c r="D449" s="1586"/>
      <c r="E449" s="125" t="s">
        <v>189</v>
      </c>
      <c r="F449" s="329"/>
      <c r="G449" s="329"/>
      <c r="H449" s="329"/>
      <c r="I449" s="71"/>
      <c r="J449" s="71"/>
      <c r="K449" s="71"/>
      <c r="L449" s="71"/>
    </row>
    <row r="450" spans="1:12" s="26" customFormat="1" ht="15" customHeight="1" x14ac:dyDescent="0.2">
      <c r="A450" s="1606"/>
      <c r="B450" s="1606"/>
      <c r="C450" s="1606"/>
      <c r="D450" s="1587"/>
      <c r="E450" s="322" t="s">
        <v>254</v>
      </c>
      <c r="F450" s="329">
        <f>F454+F458</f>
        <v>2000</v>
      </c>
      <c r="G450" s="329">
        <f>G454+G458</f>
        <v>0</v>
      </c>
      <c r="H450" s="329">
        <f t="shared" si="80"/>
        <v>2000</v>
      </c>
      <c r="I450" s="71"/>
      <c r="J450" s="71"/>
      <c r="K450" s="71"/>
      <c r="L450" s="71"/>
    </row>
    <row r="451" spans="1:12" s="26" customFormat="1" ht="15" customHeight="1" x14ac:dyDescent="0.2">
      <c r="A451" s="1606"/>
      <c r="B451" s="1606"/>
      <c r="C451" s="1606"/>
      <c r="D451" s="1587"/>
      <c r="E451" s="322" t="s">
        <v>255</v>
      </c>
      <c r="F451" s="329">
        <f t="shared" ref="F451:F452" si="83">F455+F459</f>
        <v>4278</v>
      </c>
      <c r="G451" s="329">
        <f t="shared" ref="G451:G452" si="84">G455+G459</f>
        <v>0</v>
      </c>
      <c r="H451" s="329">
        <f t="shared" si="80"/>
        <v>4278</v>
      </c>
      <c r="I451" s="71"/>
      <c r="J451" s="71"/>
      <c r="K451" s="71"/>
      <c r="L451" s="71"/>
    </row>
    <row r="452" spans="1:12" s="26" customFormat="1" ht="15" customHeight="1" x14ac:dyDescent="0.2">
      <c r="A452" s="1606"/>
      <c r="B452" s="1606"/>
      <c r="C452" s="1606"/>
      <c r="D452" s="1588"/>
      <c r="E452" s="322" t="s">
        <v>256</v>
      </c>
      <c r="F452" s="329">
        <f t="shared" si="83"/>
        <v>4278</v>
      </c>
      <c r="G452" s="329">
        <f t="shared" si="84"/>
        <v>0</v>
      </c>
      <c r="H452" s="329">
        <f t="shared" si="80"/>
        <v>4278</v>
      </c>
      <c r="I452" s="71"/>
      <c r="J452" s="71"/>
      <c r="K452" s="71"/>
      <c r="L452" s="71"/>
    </row>
    <row r="453" spans="1:12" s="26" customFormat="1" ht="15" customHeight="1" x14ac:dyDescent="0.2">
      <c r="A453" s="1606"/>
      <c r="B453" s="1606"/>
      <c r="C453" s="1606"/>
      <c r="D453" s="1586" t="s">
        <v>54</v>
      </c>
      <c r="E453" s="124" t="s">
        <v>65</v>
      </c>
      <c r="F453" s="329"/>
      <c r="G453" s="329"/>
      <c r="H453" s="329">
        <f t="shared" si="80"/>
        <v>0</v>
      </c>
      <c r="I453" s="71"/>
      <c r="J453" s="71"/>
      <c r="K453" s="71"/>
      <c r="L453" s="71"/>
    </row>
    <row r="454" spans="1:12" s="26" customFormat="1" ht="15" customHeight="1" x14ac:dyDescent="0.2">
      <c r="A454" s="1606"/>
      <c r="B454" s="1606"/>
      <c r="C454" s="1606"/>
      <c r="D454" s="1587"/>
      <c r="E454" s="322" t="s">
        <v>254</v>
      </c>
      <c r="F454" s="329">
        <v>2000</v>
      </c>
      <c r="G454" s="329"/>
      <c r="H454" s="329">
        <f t="shared" si="80"/>
        <v>2000</v>
      </c>
      <c r="I454" s="71"/>
      <c r="J454" s="71"/>
      <c r="K454" s="71"/>
      <c r="L454" s="71"/>
    </row>
    <row r="455" spans="1:12" s="26" customFormat="1" ht="15" customHeight="1" x14ac:dyDescent="0.2">
      <c r="A455" s="1606"/>
      <c r="B455" s="1606"/>
      <c r="C455" s="1606"/>
      <c r="D455" s="1587"/>
      <c r="E455" s="322" t="s">
        <v>255</v>
      </c>
      <c r="F455" s="329">
        <v>4278</v>
      </c>
      <c r="G455" s="329"/>
      <c r="H455" s="329">
        <f t="shared" si="80"/>
        <v>4278</v>
      </c>
      <c r="I455" s="71"/>
      <c r="J455" s="71"/>
      <c r="K455" s="71"/>
      <c r="L455" s="71"/>
    </row>
    <row r="456" spans="1:12" s="26" customFormat="1" ht="15" customHeight="1" x14ac:dyDescent="0.2">
      <c r="A456" s="1606"/>
      <c r="B456" s="1606"/>
      <c r="C456" s="1606"/>
      <c r="D456" s="1588"/>
      <c r="E456" s="322" t="s">
        <v>256</v>
      </c>
      <c r="F456" s="329">
        <v>4278</v>
      </c>
      <c r="G456" s="329"/>
      <c r="H456" s="329">
        <f t="shared" si="80"/>
        <v>4278</v>
      </c>
      <c r="I456" s="71"/>
      <c r="J456" s="71"/>
      <c r="K456" s="71"/>
      <c r="L456" s="71"/>
    </row>
    <row r="457" spans="1:12" s="26" customFormat="1" ht="15" customHeight="1" x14ac:dyDescent="0.2">
      <c r="A457" s="1606"/>
      <c r="B457" s="1606"/>
      <c r="C457" s="1606"/>
      <c r="D457" s="1586" t="s">
        <v>55</v>
      </c>
      <c r="E457" s="126" t="s">
        <v>66</v>
      </c>
      <c r="F457" s="329"/>
      <c r="G457" s="329"/>
      <c r="H457" s="329">
        <f t="shared" si="80"/>
        <v>0</v>
      </c>
      <c r="I457" s="71"/>
      <c r="J457" s="71"/>
      <c r="K457" s="71"/>
      <c r="L457" s="71"/>
    </row>
    <row r="458" spans="1:12" s="26" customFormat="1" ht="15" customHeight="1" x14ac:dyDescent="0.2">
      <c r="A458" s="1606"/>
      <c r="B458" s="1606"/>
      <c r="C458" s="1606"/>
      <c r="D458" s="1587"/>
      <c r="E458" s="322" t="s">
        <v>254</v>
      </c>
      <c r="F458" s="329"/>
      <c r="G458" s="329"/>
      <c r="H458" s="329">
        <f t="shared" si="80"/>
        <v>0</v>
      </c>
      <c r="I458" s="71"/>
      <c r="J458" s="71"/>
      <c r="K458" s="71"/>
      <c r="L458" s="71"/>
    </row>
    <row r="459" spans="1:12" s="26" customFormat="1" ht="15" customHeight="1" x14ac:dyDescent="0.2">
      <c r="A459" s="1606"/>
      <c r="B459" s="1606"/>
      <c r="C459" s="1606"/>
      <c r="D459" s="1587"/>
      <c r="E459" s="322" t="s">
        <v>255</v>
      </c>
      <c r="F459" s="329"/>
      <c r="G459" s="329"/>
      <c r="H459" s="329">
        <f t="shared" si="80"/>
        <v>0</v>
      </c>
      <c r="I459" s="71"/>
      <c r="J459" s="71"/>
      <c r="K459" s="71"/>
      <c r="L459" s="71"/>
    </row>
    <row r="460" spans="1:12" s="26" customFormat="1" ht="15" customHeight="1" x14ac:dyDescent="0.2">
      <c r="A460" s="1606"/>
      <c r="B460" s="1606"/>
      <c r="C460" s="1606"/>
      <c r="D460" s="1588"/>
      <c r="E460" s="322" t="s">
        <v>256</v>
      </c>
      <c r="F460" s="329"/>
      <c r="G460" s="329"/>
      <c r="H460" s="329"/>
      <c r="I460" s="71"/>
      <c r="J460" s="71"/>
      <c r="K460" s="71"/>
      <c r="L460" s="71"/>
    </row>
    <row r="461" spans="1:12" ht="14.25" customHeight="1" x14ac:dyDescent="0.2">
      <c r="A461" s="1736" t="s">
        <v>110</v>
      </c>
      <c r="B461" s="1736"/>
      <c r="C461" s="1736"/>
      <c r="D461" s="1736"/>
      <c r="E461" s="1737"/>
      <c r="F461" s="118"/>
      <c r="G461" s="127"/>
      <c r="H461" s="128"/>
      <c r="I461" s="73"/>
      <c r="J461" s="69"/>
      <c r="K461" s="69"/>
      <c r="L461" s="69"/>
    </row>
    <row r="462" spans="1:12" ht="14.25" customHeight="1" x14ac:dyDescent="0.2">
      <c r="A462" s="1643"/>
      <c r="B462" s="1644"/>
      <c r="C462" s="1644"/>
      <c r="D462" s="1645"/>
      <c r="E462" s="351" t="s">
        <v>254</v>
      </c>
      <c r="F462" s="118">
        <f>F466+F470</f>
        <v>0</v>
      </c>
      <c r="G462" s="118">
        <f>G466+G470</f>
        <v>0</v>
      </c>
      <c r="H462" s="128">
        <f>F462+G462</f>
        <v>0</v>
      </c>
      <c r="I462" s="73"/>
      <c r="J462" s="69"/>
      <c r="K462" s="69"/>
      <c r="L462" s="69"/>
    </row>
    <row r="463" spans="1:12" ht="14.25" customHeight="1" x14ac:dyDescent="0.2">
      <c r="A463" s="1646"/>
      <c r="B463" s="1647"/>
      <c r="C463" s="1647"/>
      <c r="D463" s="1648"/>
      <c r="E463" s="351" t="s">
        <v>255</v>
      </c>
      <c r="F463" s="118">
        <f t="shared" ref="F463:G464" si="85">F467+F471</f>
        <v>0</v>
      </c>
      <c r="G463" s="118">
        <f t="shared" si="85"/>
        <v>0</v>
      </c>
      <c r="H463" s="128">
        <f t="shared" ref="H463:H472" si="86">F463+G463</f>
        <v>0</v>
      </c>
      <c r="I463" s="73"/>
      <c r="J463" s="69"/>
      <c r="K463" s="69"/>
      <c r="L463" s="69"/>
    </row>
    <row r="464" spans="1:12" ht="14.25" customHeight="1" x14ac:dyDescent="0.2">
      <c r="A464" s="1649"/>
      <c r="B464" s="1650"/>
      <c r="C464" s="1650"/>
      <c r="D464" s="1651"/>
      <c r="E464" s="351" t="s">
        <v>256</v>
      </c>
      <c r="F464" s="118">
        <f t="shared" si="85"/>
        <v>0</v>
      </c>
      <c r="G464" s="118">
        <f t="shared" si="85"/>
        <v>0</v>
      </c>
      <c r="H464" s="128">
        <f t="shared" si="86"/>
        <v>0</v>
      </c>
      <c r="I464" s="73"/>
      <c r="J464" s="69"/>
      <c r="K464" s="69"/>
      <c r="L464" s="69"/>
    </row>
    <row r="465" spans="1:12" ht="14.25" customHeight="1" x14ac:dyDescent="0.2">
      <c r="A465" s="1643"/>
      <c r="B465" s="1644"/>
      <c r="C465" s="1645"/>
      <c r="D465" s="1640" t="s">
        <v>54</v>
      </c>
      <c r="E465" s="352" t="s">
        <v>65</v>
      </c>
      <c r="F465" s="117"/>
      <c r="G465" s="117"/>
      <c r="H465" s="128"/>
      <c r="I465" s="73"/>
      <c r="J465" s="69"/>
      <c r="K465" s="69"/>
      <c r="L465" s="69"/>
    </row>
    <row r="466" spans="1:12" ht="14.25" customHeight="1" x14ac:dyDescent="0.2">
      <c r="A466" s="1646"/>
      <c r="B466" s="1647"/>
      <c r="C466" s="1648"/>
      <c r="D466" s="1641"/>
      <c r="E466" s="351" t="s">
        <v>254</v>
      </c>
      <c r="F466" s="117">
        <f>F478</f>
        <v>0</v>
      </c>
      <c r="G466" s="117">
        <f>G478</f>
        <v>0</v>
      </c>
      <c r="H466" s="128">
        <f t="shared" si="86"/>
        <v>0</v>
      </c>
      <c r="I466" s="73"/>
      <c r="J466" s="69"/>
      <c r="K466" s="69"/>
      <c r="L466" s="69"/>
    </row>
    <row r="467" spans="1:12" ht="14.25" customHeight="1" x14ac:dyDescent="0.2">
      <c r="A467" s="1646"/>
      <c r="B467" s="1647"/>
      <c r="C467" s="1648"/>
      <c r="D467" s="1641"/>
      <c r="E467" s="351" t="s">
        <v>255</v>
      </c>
      <c r="F467" s="117">
        <f t="shared" ref="F467:G468" si="87">F479</f>
        <v>0</v>
      </c>
      <c r="G467" s="117">
        <f t="shared" si="87"/>
        <v>0</v>
      </c>
      <c r="H467" s="128">
        <f t="shared" si="86"/>
        <v>0</v>
      </c>
      <c r="I467" s="73"/>
      <c r="J467" s="69"/>
      <c r="K467" s="69"/>
      <c r="L467" s="69"/>
    </row>
    <row r="468" spans="1:12" ht="14.25" customHeight="1" x14ac:dyDescent="0.2">
      <c r="A468" s="1646"/>
      <c r="B468" s="1647"/>
      <c r="C468" s="1648"/>
      <c r="D468" s="1642"/>
      <c r="E468" s="351" t="s">
        <v>256</v>
      </c>
      <c r="F468" s="117">
        <f t="shared" si="87"/>
        <v>0</v>
      </c>
      <c r="G468" s="117">
        <f t="shared" si="87"/>
        <v>0</v>
      </c>
      <c r="H468" s="128">
        <f t="shared" si="86"/>
        <v>0</v>
      </c>
      <c r="I468" s="73"/>
      <c r="J468" s="69"/>
      <c r="K468" s="69"/>
      <c r="L468" s="69"/>
    </row>
    <row r="469" spans="1:12" ht="14.25" customHeight="1" x14ac:dyDescent="0.2">
      <c r="A469" s="1646"/>
      <c r="B469" s="1647"/>
      <c r="C469" s="1648"/>
      <c r="D469" s="1640" t="s">
        <v>55</v>
      </c>
      <c r="E469" s="353" t="s">
        <v>66</v>
      </c>
      <c r="F469" s="117"/>
      <c r="G469" s="117"/>
      <c r="H469" s="128"/>
      <c r="I469" s="73"/>
      <c r="J469" s="69"/>
      <c r="K469" s="69"/>
      <c r="L469" s="69"/>
    </row>
    <row r="470" spans="1:12" ht="14.25" customHeight="1" x14ac:dyDescent="0.2">
      <c r="A470" s="1646"/>
      <c r="B470" s="1647"/>
      <c r="C470" s="1648"/>
      <c r="D470" s="1641"/>
      <c r="E470" s="351" t="s">
        <v>254</v>
      </c>
      <c r="F470" s="117">
        <f>F482</f>
        <v>0</v>
      </c>
      <c r="G470" s="117">
        <f>G482</f>
        <v>0</v>
      </c>
      <c r="H470" s="128">
        <f t="shared" si="86"/>
        <v>0</v>
      </c>
      <c r="I470" s="73"/>
      <c r="J470" s="69"/>
      <c r="K470" s="69"/>
      <c r="L470" s="69"/>
    </row>
    <row r="471" spans="1:12" ht="14.25" customHeight="1" x14ac:dyDescent="0.2">
      <c r="A471" s="1646"/>
      <c r="B471" s="1647"/>
      <c r="C471" s="1648"/>
      <c r="D471" s="1641"/>
      <c r="E471" s="351" t="s">
        <v>255</v>
      </c>
      <c r="F471" s="117">
        <f t="shared" ref="F471:G472" si="88">F483</f>
        <v>0</v>
      </c>
      <c r="G471" s="117">
        <f t="shared" si="88"/>
        <v>0</v>
      </c>
      <c r="H471" s="128">
        <f t="shared" si="86"/>
        <v>0</v>
      </c>
      <c r="I471" s="73"/>
      <c r="J471" s="69"/>
      <c r="K471" s="69"/>
      <c r="L471" s="69"/>
    </row>
    <row r="472" spans="1:12" ht="14.25" customHeight="1" x14ac:dyDescent="0.2">
      <c r="A472" s="1649"/>
      <c r="B472" s="1650"/>
      <c r="C472" s="1651"/>
      <c r="D472" s="1642"/>
      <c r="E472" s="351" t="s">
        <v>256</v>
      </c>
      <c r="F472" s="117">
        <f t="shared" si="88"/>
        <v>0</v>
      </c>
      <c r="G472" s="117">
        <f t="shared" si="88"/>
        <v>0</v>
      </c>
      <c r="H472" s="128">
        <f t="shared" si="86"/>
        <v>0</v>
      </c>
      <c r="I472" s="73"/>
      <c r="J472" s="69"/>
      <c r="K472" s="69"/>
      <c r="L472" s="69"/>
    </row>
    <row r="473" spans="1:12" ht="14.25" customHeight="1" x14ac:dyDescent="0.2">
      <c r="A473" s="1653">
        <v>1</v>
      </c>
      <c r="B473" s="1653"/>
      <c r="C473" s="1653" t="s">
        <v>161</v>
      </c>
      <c r="D473" s="1653"/>
      <c r="E473" s="326" t="s">
        <v>182</v>
      </c>
      <c r="F473" s="354"/>
      <c r="G473" s="354"/>
      <c r="H473" s="328"/>
      <c r="I473" s="69"/>
      <c r="J473" s="69"/>
      <c r="K473" s="69"/>
      <c r="L473" s="69"/>
    </row>
    <row r="474" spans="1:12" ht="14.25" customHeight="1" x14ac:dyDescent="0.2">
      <c r="A474" s="1653"/>
      <c r="B474" s="1653"/>
      <c r="C474" s="1653"/>
      <c r="D474" s="1653"/>
      <c r="E474" s="321" t="s">
        <v>254</v>
      </c>
      <c r="F474" s="354">
        <f>F478+F482</f>
        <v>0</v>
      </c>
      <c r="G474" s="354">
        <f>G478+G482</f>
        <v>0</v>
      </c>
      <c r="H474" s="328">
        <f>SUM(F474:G474)</f>
        <v>0</v>
      </c>
      <c r="I474" s="69"/>
      <c r="J474" s="69"/>
      <c r="K474" s="69"/>
      <c r="L474" s="69"/>
    </row>
    <row r="475" spans="1:12" ht="14.25" customHeight="1" x14ac:dyDescent="0.2">
      <c r="A475" s="1653"/>
      <c r="B475" s="1653"/>
      <c r="C475" s="1653"/>
      <c r="D475" s="1653"/>
      <c r="E475" s="321" t="s">
        <v>255</v>
      </c>
      <c r="F475" s="354">
        <f t="shared" ref="F475:G476" si="89">F479+F483</f>
        <v>0</v>
      </c>
      <c r="G475" s="354">
        <f t="shared" si="89"/>
        <v>0</v>
      </c>
      <c r="H475" s="328">
        <f t="shared" ref="H475:H484" si="90">SUM(F475:G475)</f>
        <v>0</v>
      </c>
      <c r="I475" s="69"/>
      <c r="J475" s="69"/>
      <c r="K475" s="69"/>
      <c r="L475" s="69"/>
    </row>
    <row r="476" spans="1:12" ht="14.25" customHeight="1" x14ac:dyDescent="0.2">
      <c r="A476" s="1653"/>
      <c r="B476" s="1653"/>
      <c r="C476" s="1653"/>
      <c r="D476" s="1653"/>
      <c r="E476" s="321" t="s">
        <v>256</v>
      </c>
      <c r="F476" s="354">
        <f t="shared" si="89"/>
        <v>0</v>
      </c>
      <c r="G476" s="354">
        <f t="shared" si="89"/>
        <v>0</v>
      </c>
      <c r="H476" s="328">
        <f t="shared" si="90"/>
        <v>0</v>
      </c>
      <c r="I476" s="69"/>
      <c r="J476" s="69"/>
      <c r="K476" s="69"/>
      <c r="L476" s="69"/>
    </row>
    <row r="477" spans="1:12" ht="14.25" customHeight="1" x14ac:dyDescent="0.2">
      <c r="A477" s="1653"/>
      <c r="B477" s="1653"/>
      <c r="C477" s="1653"/>
      <c r="D477" s="1653" t="s">
        <v>54</v>
      </c>
      <c r="E477" s="337" t="s">
        <v>65</v>
      </c>
      <c r="F477" s="354"/>
      <c r="G477" s="354"/>
      <c r="H477" s="328">
        <f t="shared" si="90"/>
        <v>0</v>
      </c>
      <c r="I477" s="69"/>
      <c r="J477" s="69"/>
      <c r="K477" s="69"/>
      <c r="L477" s="69"/>
    </row>
    <row r="478" spans="1:12" ht="14.25" customHeight="1" x14ac:dyDescent="0.2">
      <c r="A478" s="1653"/>
      <c r="B478" s="1653"/>
      <c r="C478" s="1653"/>
      <c r="D478" s="1653"/>
      <c r="E478" s="321" t="s">
        <v>254</v>
      </c>
      <c r="F478" s="354">
        <f>F490+F502+F514</f>
        <v>0</v>
      </c>
      <c r="G478" s="354">
        <f>G490+G502+G514</f>
        <v>0</v>
      </c>
      <c r="H478" s="328">
        <f t="shared" si="90"/>
        <v>0</v>
      </c>
      <c r="I478" s="69"/>
      <c r="J478" s="69"/>
      <c r="K478" s="69"/>
      <c r="L478" s="69"/>
    </row>
    <row r="479" spans="1:12" ht="14.25" customHeight="1" x14ac:dyDescent="0.2">
      <c r="A479" s="1653"/>
      <c r="B479" s="1653"/>
      <c r="C479" s="1653"/>
      <c r="D479" s="1653"/>
      <c r="E479" s="321" t="s">
        <v>255</v>
      </c>
      <c r="F479" s="354">
        <f t="shared" ref="F479:G480" si="91">F491+F503+F515</f>
        <v>0</v>
      </c>
      <c r="G479" s="354">
        <f t="shared" si="91"/>
        <v>0</v>
      </c>
      <c r="H479" s="328">
        <f t="shared" si="90"/>
        <v>0</v>
      </c>
      <c r="I479" s="69"/>
      <c r="J479" s="69"/>
      <c r="K479" s="69"/>
      <c r="L479" s="69"/>
    </row>
    <row r="480" spans="1:12" ht="14.25" customHeight="1" x14ac:dyDescent="0.2">
      <c r="A480" s="1653"/>
      <c r="B480" s="1653"/>
      <c r="C480" s="1653"/>
      <c r="D480" s="1653"/>
      <c r="E480" s="321" t="s">
        <v>256</v>
      </c>
      <c r="F480" s="354">
        <f t="shared" si="91"/>
        <v>0</v>
      </c>
      <c r="G480" s="354">
        <f t="shared" si="91"/>
        <v>0</v>
      </c>
      <c r="H480" s="328">
        <f t="shared" si="90"/>
        <v>0</v>
      </c>
      <c r="I480" s="69"/>
      <c r="J480" s="69"/>
      <c r="K480" s="69"/>
      <c r="L480" s="69"/>
    </row>
    <row r="481" spans="1:12" ht="14.25" customHeight="1" x14ac:dyDescent="0.2">
      <c r="A481" s="1653"/>
      <c r="B481" s="1653"/>
      <c r="C481" s="1653"/>
      <c r="D481" s="1653" t="s">
        <v>55</v>
      </c>
      <c r="E481" s="338" t="s">
        <v>66</v>
      </c>
      <c r="F481" s="354"/>
      <c r="G481" s="354"/>
      <c r="H481" s="328">
        <f t="shared" si="90"/>
        <v>0</v>
      </c>
      <c r="I481" s="69"/>
      <c r="J481" s="69"/>
      <c r="K481" s="69"/>
      <c r="L481" s="69"/>
    </row>
    <row r="482" spans="1:12" ht="14.25" customHeight="1" x14ac:dyDescent="0.2">
      <c r="A482" s="1653"/>
      <c r="B482" s="1653"/>
      <c r="C482" s="1653"/>
      <c r="D482" s="1653"/>
      <c r="E482" s="321" t="s">
        <v>254</v>
      </c>
      <c r="F482" s="354">
        <f>F494+F506+F518</f>
        <v>0</v>
      </c>
      <c r="G482" s="354">
        <f>G494+G506+G518</f>
        <v>0</v>
      </c>
      <c r="H482" s="328">
        <f t="shared" si="90"/>
        <v>0</v>
      </c>
      <c r="I482" s="69"/>
      <c r="J482" s="69"/>
      <c r="K482" s="69"/>
      <c r="L482" s="69"/>
    </row>
    <row r="483" spans="1:12" ht="14.25" customHeight="1" x14ac:dyDescent="0.2">
      <c r="A483" s="1653"/>
      <c r="B483" s="1653"/>
      <c r="C483" s="1653"/>
      <c r="D483" s="1653"/>
      <c r="E483" s="321" t="s">
        <v>255</v>
      </c>
      <c r="F483" s="354">
        <f t="shared" ref="F483:G484" si="92">F495+F507+F519</f>
        <v>0</v>
      </c>
      <c r="G483" s="354">
        <f t="shared" si="92"/>
        <v>0</v>
      </c>
      <c r="H483" s="328">
        <f t="shared" si="90"/>
        <v>0</v>
      </c>
      <c r="I483" s="69"/>
      <c r="J483" s="69"/>
      <c r="K483" s="69"/>
      <c r="L483" s="69"/>
    </row>
    <row r="484" spans="1:12" ht="14.25" customHeight="1" x14ac:dyDescent="0.2">
      <c r="A484" s="1653"/>
      <c r="B484" s="1653"/>
      <c r="C484" s="1653"/>
      <c r="D484" s="1653"/>
      <c r="E484" s="321" t="s">
        <v>256</v>
      </c>
      <c r="F484" s="354">
        <f t="shared" si="92"/>
        <v>0</v>
      </c>
      <c r="G484" s="354">
        <f t="shared" si="92"/>
        <v>0</v>
      </c>
      <c r="H484" s="328">
        <f t="shared" si="90"/>
        <v>0</v>
      </c>
      <c r="I484" s="69"/>
      <c r="J484" s="69"/>
      <c r="K484" s="69"/>
      <c r="L484" s="69"/>
    </row>
    <row r="485" spans="1:12" ht="14.25" customHeight="1" x14ac:dyDescent="0.2">
      <c r="A485" s="1606"/>
      <c r="B485" s="1606"/>
      <c r="C485" s="1652"/>
      <c r="D485" s="1652"/>
      <c r="E485" s="340" t="s">
        <v>207</v>
      </c>
      <c r="F485" s="115"/>
      <c r="G485" s="115"/>
      <c r="H485" s="329"/>
      <c r="I485" s="69"/>
      <c r="J485" s="69"/>
      <c r="K485" s="69"/>
      <c r="L485" s="69"/>
    </row>
    <row r="486" spans="1:12" ht="14.25" customHeight="1" x14ac:dyDescent="0.2">
      <c r="A486" s="1606"/>
      <c r="B486" s="1606"/>
      <c r="C486" s="1652"/>
      <c r="D486" s="1652"/>
      <c r="E486" s="322" t="s">
        <v>254</v>
      </c>
      <c r="F486" s="115">
        <f>F490+F494</f>
        <v>0</v>
      </c>
      <c r="G486" s="115">
        <f>G490+G494</f>
        <v>0</v>
      </c>
      <c r="H486" s="329">
        <f>F486+G486</f>
        <v>0</v>
      </c>
      <c r="I486" s="69"/>
      <c r="J486" s="69"/>
      <c r="K486" s="69"/>
      <c r="L486" s="69"/>
    </row>
    <row r="487" spans="1:12" ht="14.25" customHeight="1" x14ac:dyDescent="0.2">
      <c r="A487" s="1606"/>
      <c r="B487" s="1606"/>
      <c r="C487" s="1652"/>
      <c r="D487" s="1652"/>
      <c r="E487" s="322" t="s">
        <v>255</v>
      </c>
      <c r="F487" s="115">
        <f t="shared" ref="F487:G488" si="93">F491+F495</f>
        <v>0</v>
      </c>
      <c r="G487" s="115">
        <f t="shared" si="93"/>
        <v>0</v>
      </c>
      <c r="H487" s="329">
        <f t="shared" ref="H487:H520" si="94">F487+G487</f>
        <v>0</v>
      </c>
      <c r="I487" s="69"/>
      <c r="J487" s="69"/>
      <c r="K487" s="69"/>
      <c r="L487" s="69"/>
    </row>
    <row r="488" spans="1:12" ht="14.25" customHeight="1" x14ac:dyDescent="0.2">
      <c r="A488" s="1606"/>
      <c r="B488" s="1606"/>
      <c r="C488" s="1652"/>
      <c r="D488" s="1652"/>
      <c r="E488" s="322" t="s">
        <v>256</v>
      </c>
      <c r="F488" s="115">
        <f t="shared" si="93"/>
        <v>0</v>
      </c>
      <c r="G488" s="115">
        <f t="shared" si="93"/>
        <v>0</v>
      </c>
      <c r="H488" s="329">
        <f t="shared" si="94"/>
        <v>0</v>
      </c>
      <c r="I488" s="69"/>
      <c r="J488" s="69"/>
      <c r="K488" s="69"/>
      <c r="L488" s="69"/>
    </row>
    <row r="489" spans="1:12" ht="14.25" customHeight="1" x14ac:dyDescent="0.2">
      <c r="A489" s="1606"/>
      <c r="B489" s="1606"/>
      <c r="C489" s="1652"/>
      <c r="D489" s="1652" t="s">
        <v>54</v>
      </c>
      <c r="E489" s="671" t="s">
        <v>65</v>
      </c>
      <c r="F489" s="115"/>
      <c r="G489" s="329"/>
      <c r="H489" s="329">
        <f t="shared" si="94"/>
        <v>0</v>
      </c>
      <c r="I489" s="69"/>
      <c r="J489" s="69"/>
      <c r="K489" s="69"/>
      <c r="L489" s="69"/>
    </row>
    <row r="490" spans="1:12" ht="14.25" customHeight="1" x14ac:dyDescent="0.2">
      <c r="A490" s="1606"/>
      <c r="B490" s="1606"/>
      <c r="C490" s="1652"/>
      <c r="D490" s="1652"/>
      <c r="E490" s="322" t="s">
        <v>254</v>
      </c>
      <c r="F490" s="115"/>
      <c r="G490" s="329">
        <v>0</v>
      </c>
      <c r="H490" s="329">
        <f t="shared" si="94"/>
        <v>0</v>
      </c>
      <c r="I490" s="69"/>
      <c r="J490" s="69"/>
      <c r="K490" s="69"/>
      <c r="L490" s="69"/>
    </row>
    <row r="491" spans="1:12" ht="14.25" customHeight="1" x14ac:dyDescent="0.2">
      <c r="A491" s="1606"/>
      <c r="B491" s="1606"/>
      <c r="C491" s="1652"/>
      <c r="D491" s="1652"/>
      <c r="E491" s="322" t="s">
        <v>255</v>
      </c>
      <c r="F491" s="115"/>
      <c r="G491" s="329">
        <v>0</v>
      </c>
      <c r="H491" s="329">
        <f t="shared" si="94"/>
        <v>0</v>
      </c>
      <c r="I491" s="69"/>
      <c r="J491" s="69"/>
      <c r="K491" s="69"/>
      <c r="L491" s="69"/>
    </row>
    <row r="492" spans="1:12" ht="14.25" customHeight="1" x14ac:dyDescent="0.2">
      <c r="A492" s="1606"/>
      <c r="B492" s="1606"/>
      <c r="C492" s="1652"/>
      <c r="D492" s="1652"/>
      <c r="E492" s="322" t="s">
        <v>256</v>
      </c>
      <c r="F492" s="115"/>
      <c r="G492" s="329">
        <v>0</v>
      </c>
      <c r="H492" s="329">
        <f t="shared" si="94"/>
        <v>0</v>
      </c>
      <c r="I492" s="69"/>
      <c r="J492" s="69"/>
      <c r="K492" s="69"/>
      <c r="L492" s="69"/>
    </row>
    <row r="493" spans="1:12" ht="14.25" customHeight="1" x14ac:dyDescent="0.2">
      <c r="A493" s="1606"/>
      <c r="B493" s="1606"/>
      <c r="C493" s="1652"/>
      <c r="D493" s="1652" t="s">
        <v>55</v>
      </c>
      <c r="E493" s="156" t="s">
        <v>66</v>
      </c>
      <c r="F493" s="115"/>
      <c r="G493" s="329"/>
      <c r="H493" s="329">
        <f t="shared" si="94"/>
        <v>0</v>
      </c>
      <c r="I493" s="69"/>
      <c r="J493" s="69"/>
      <c r="K493" s="69"/>
      <c r="L493" s="69"/>
    </row>
    <row r="494" spans="1:12" ht="14.25" customHeight="1" x14ac:dyDescent="0.2">
      <c r="A494" s="1606"/>
      <c r="B494" s="1606"/>
      <c r="C494" s="1652"/>
      <c r="D494" s="1652"/>
      <c r="E494" s="322" t="s">
        <v>254</v>
      </c>
      <c r="F494" s="115"/>
      <c r="G494" s="329"/>
      <c r="H494" s="329">
        <f t="shared" si="94"/>
        <v>0</v>
      </c>
      <c r="I494" s="69"/>
      <c r="J494" s="69"/>
      <c r="K494" s="69"/>
      <c r="L494" s="69"/>
    </row>
    <row r="495" spans="1:12" ht="14.25" customHeight="1" x14ac:dyDescent="0.2">
      <c r="A495" s="1606"/>
      <c r="B495" s="1606"/>
      <c r="C495" s="1652"/>
      <c r="D495" s="1652"/>
      <c r="E495" s="322" t="s">
        <v>255</v>
      </c>
      <c r="F495" s="115"/>
      <c r="G495" s="329"/>
      <c r="H495" s="329">
        <f t="shared" si="94"/>
        <v>0</v>
      </c>
      <c r="I495" s="69"/>
      <c r="J495" s="69"/>
      <c r="K495" s="69"/>
      <c r="L495" s="69"/>
    </row>
    <row r="496" spans="1:12" ht="14.25" customHeight="1" x14ac:dyDescent="0.2">
      <c r="A496" s="1606"/>
      <c r="B496" s="1606"/>
      <c r="C496" s="1652"/>
      <c r="D496" s="1652"/>
      <c r="E496" s="322" t="s">
        <v>256</v>
      </c>
      <c r="F496" s="115"/>
      <c r="G496" s="329"/>
      <c r="H496" s="329">
        <f t="shared" si="94"/>
        <v>0</v>
      </c>
      <c r="I496" s="69"/>
      <c r="J496" s="69"/>
      <c r="K496" s="69"/>
      <c r="L496" s="69"/>
    </row>
    <row r="497" spans="1:12" ht="14.25" customHeight="1" x14ac:dyDescent="0.2">
      <c r="A497" s="1606"/>
      <c r="B497" s="1606"/>
      <c r="C497" s="1652"/>
      <c r="D497" s="1652"/>
      <c r="E497" s="340" t="s">
        <v>188</v>
      </c>
      <c r="F497" s="115"/>
      <c r="G497" s="329"/>
      <c r="H497" s="329"/>
      <c r="I497" s="69"/>
      <c r="J497" s="69"/>
      <c r="K497" s="69"/>
      <c r="L497" s="69"/>
    </row>
    <row r="498" spans="1:12" ht="14.25" customHeight="1" x14ac:dyDescent="0.2">
      <c r="A498" s="1606"/>
      <c r="B498" s="1606"/>
      <c r="C498" s="1652"/>
      <c r="D498" s="1652"/>
      <c r="E498" s="322" t="s">
        <v>254</v>
      </c>
      <c r="F498" s="115">
        <f>F502+F506</f>
        <v>0</v>
      </c>
      <c r="G498" s="115">
        <f>G502+G506</f>
        <v>0</v>
      </c>
      <c r="H498" s="329">
        <f t="shared" si="94"/>
        <v>0</v>
      </c>
      <c r="I498" s="69"/>
      <c r="J498" s="69"/>
      <c r="K498" s="69"/>
      <c r="L498" s="69"/>
    </row>
    <row r="499" spans="1:12" ht="14.25" customHeight="1" x14ac:dyDescent="0.2">
      <c r="A499" s="1606"/>
      <c r="B499" s="1606"/>
      <c r="C499" s="1652"/>
      <c r="D499" s="1652"/>
      <c r="E499" s="322" t="s">
        <v>255</v>
      </c>
      <c r="F499" s="115">
        <f t="shared" ref="F499:G500" si="95">F503+F507</f>
        <v>0</v>
      </c>
      <c r="G499" s="115">
        <f t="shared" si="95"/>
        <v>0</v>
      </c>
      <c r="H499" s="329">
        <f t="shared" si="94"/>
        <v>0</v>
      </c>
      <c r="I499" s="69"/>
      <c r="J499" s="69"/>
      <c r="K499" s="69"/>
      <c r="L499" s="69"/>
    </row>
    <row r="500" spans="1:12" ht="14.25" customHeight="1" x14ac:dyDescent="0.2">
      <c r="A500" s="1606"/>
      <c r="B500" s="1606"/>
      <c r="C500" s="1652"/>
      <c r="D500" s="1652"/>
      <c r="E500" s="322" t="s">
        <v>256</v>
      </c>
      <c r="F500" s="115">
        <f>F504+F508</f>
        <v>0</v>
      </c>
      <c r="G500" s="115">
        <f t="shared" si="95"/>
        <v>0</v>
      </c>
      <c r="H500" s="329">
        <f t="shared" si="94"/>
        <v>0</v>
      </c>
      <c r="I500" s="69"/>
      <c r="J500" s="69"/>
      <c r="K500" s="69"/>
      <c r="L500" s="69"/>
    </row>
    <row r="501" spans="1:12" ht="14.25" customHeight="1" x14ac:dyDescent="0.2">
      <c r="A501" s="1606"/>
      <c r="B501" s="1606"/>
      <c r="C501" s="1652"/>
      <c r="D501" s="1652" t="s">
        <v>54</v>
      </c>
      <c r="E501" s="671" t="s">
        <v>65</v>
      </c>
      <c r="F501" s="115"/>
      <c r="G501" s="329"/>
      <c r="H501" s="329">
        <f t="shared" si="94"/>
        <v>0</v>
      </c>
      <c r="I501" s="69"/>
      <c r="J501" s="69"/>
      <c r="K501" s="69"/>
      <c r="L501" s="69"/>
    </row>
    <row r="502" spans="1:12" ht="14.25" customHeight="1" x14ac:dyDescent="0.2">
      <c r="A502" s="1606"/>
      <c r="B502" s="1606"/>
      <c r="C502" s="1652"/>
      <c r="D502" s="1652"/>
      <c r="E502" s="322" t="s">
        <v>254</v>
      </c>
      <c r="F502" s="115"/>
      <c r="G502" s="329"/>
      <c r="H502" s="329">
        <f t="shared" si="94"/>
        <v>0</v>
      </c>
      <c r="I502" s="69"/>
      <c r="J502" s="69"/>
      <c r="K502" s="69"/>
      <c r="L502" s="69"/>
    </row>
    <row r="503" spans="1:12" ht="14.25" customHeight="1" x14ac:dyDescent="0.2">
      <c r="A503" s="1606"/>
      <c r="B503" s="1606"/>
      <c r="C503" s="1652"/>
      <c r="D503" s="1652"/>
      <c r="E503" s="322" t="s">
        <v>255</v>
      </c>
      <c r="F503" s="115"/>
      <c r="G503" s="329"/>
      <c r="H503" s="329">
        <f t="shared" si="94"/>
        <v>0</v>
      </c>
      <c r="I503" s="69"/>
      <c r="J503" s="69"/>
      <c r="K503" s="69"/>
      <c r="L503" s="69"/>
    </row>
    <row r="504" spans="1:12" ht="14.25" customHeight="1" x14ac:dyDescent="0.2">
      <c r="A504" s="1606"/>
      <c r="B504" s="1606"/>
      <c r="C504" s="1652"/>
      <c r="D504" s="1652"/>
      <c r="E504" s="322" t="s">
        <v>256</v>
      </c>
      <c r="F504" s="115"/>
      <c r="G504" s="329"/>
      <c r="H504" s="329">
        <f t="shared" si="94"/>
        <v>0</v>
      </c>
      <c r="I504" s="69"/>
      <c r="J504" s="69"/>
      <c r="K504" s="69"/>
      <c r="L504" s="69"/>
    </row>
    <row r="505" spans="1:12" ht="14.25" customHeight="1" x14ac:dyDescent="0.2">
      <c r="A505" s="1606"/>
      <c r="B505" s="1606"/>
      <c r="C505" s="1652"/>
      <c r="D505" s="1652" t="s">
        <v>55</v>
      </c>
      <c r="E505" s="156" t="s">
        <v>66</v>
      </c>
      <c r="F505" s="115"/>
      <c r="G505" s="329"/>
      <c r="H505" s="329">
        <f t="shared" si="94"/>
        <v>0</v>
      </c>
      <c r="I505" s="69"/>
      <c r="J505" s="69"/>
      <c r="K505" s="69"/>
      <c r="L505" s="69"/>
    </row>
    <row r="506" spans="1:12" ht="14.25" customHeight="1" x14ac:dyDescent="0.2">
      <c r="A506" s="1606"/>
      <c r="B506" s="1606"/>
      <c r="C506" s="1652"/>
      <c r="D506" s="1652"/>
      <c r="E506" s="322" t="s">
        <v>254</v>
      </c>
      <c r="F506" s="115"/>
      <c r="G506" s="329"/>
      <c r="H506" s="329">
        <f t="shared" si="94"/>
        <v>0</v>
      </c>
      <c r="I506" s="69"/>
      <c r="J506" s="69"/>
      <c r="K506" s="69"/>
      <c r="L506" s="69"/>
    </row>
    <row r="507" spans="1:12" ht="14.25" customHeight="1" x14ac:dyDescent="0.2">
      <c r="A507" s="1606"/>
      <c r="B507" s="1606"/>
      <c r="C507" s="1652"/>
      <c r="D507" s="1652"/>
      <c r="E507" s="322" t="s">
        <v>255</v>
      </c>
      <c r="F507" s="115"/>
      <c r="G507" s="329"/>
      <c r="H507" s="329">
        <f t="shared" si="94"/>
        <v>0</v>
      </c>
      <c r="I507" s="69"/>
      <c r="J507" s="69"/>
      <c r="K507" s="69"/>
      <c r="L507" s="69"/>
    </row>
    <row r="508" spans="1:12" ht="14.25" customHeight="1" x14ac:dyDescent="0.2">
      <c r="A508" s="1606"/>
      <c r="B508" s="1606"/>
      <c r="C508" s="1652"/>
      <c r="D508" s="1652"/>
      <c r="E508" s="322" t="s">
        <v>256</v>
      </c>
      <c r="F508" s="115"/>
      <c r="G508" s="329"/>
      <c r="H508" s="329">
        <f t="shared" si="94"/>
        <v>0</v>
      </c>
      <c r="I508" s="69"/>
      <c r="J508" s="69"/>
      <c r="K508" s="69"/>
      <c r="L508" s="69"/>
    </row>
    <row r="509" spans="1:12" ht="14.25" customHeight="1" x14ac:dyDescent="0.2">
      <c r="A509" s="1606"/>
      <c r="B509" s="1606"/>
      <c r="C509" s="1652"/>
      <c r="D509" s="1652"/>
      <c r="E509" s="340" t="s">
        <v>189</v>
      </c>
      <c r="F509" s="115"/>
      <c r="G509" s="329"/>
      <c r="H509" s="329"/>
      <c r="I509" s="69"/>
      <c r="J509" s="69"/>
      <c r="K509" s="69"/>
      <c r="L509" s="69"/>
    </row>
    <row r="510" spans="1:12" ht="14.25" customHeight="1" x14ac:dyDescent="0.2">
      <c r="A510" s="1606"/>
      <c r="B510" s="1606"/>
      <c r="C510" s="1652"/>
      <c r="D510" s="1652"/>
      <c r="E510" s="322" t="s">
        <v>254</v>
      </c>
      <c r="F510" s="115">
        <f>F514+F518</f>
        <v>0</v>
      </c>
      <c r="G510" s="115">
        <f>G514+G518</f>
        <v>0</v>
      </c>
      <c r="H510" s="329">
        <f t="shared" si="94"/>
        <v>0</v>
      </c>
      <c r="I510" s="69"/>
      <c r="J510" s="69"/>
      <c r="K510" s="69"/>
      <c r="L510" s="69"/>
    </row>
    <row r="511" spans="1:12" ht="14.25" customHeight="1" x14ac:dyDescent="0.2">
      <c r="A511" s="1606"/>
      <c r="B511" s="1606"/>
      <c r="C511" s="1652"/>
      <c r="D511" s="1652"/>
      <c r="E511" s="322" t="s">
        <v>255</v>
      </c>
      <c r="F511" s="115">
        <f t="shared" ref="F511:G512" si="96">F515+F519</f>
        <v>0</v>
      </c>
      <c r="G511" s="115">
        <f t="shared" si="96"/>
        <v>0</v>
      </c>
      <c r="H511" s="329">
        <f t="shared" si="94"/>
        <v>0</v>
      </c>
      <c r="I511" s="69"/>
      <c r="J511" s="69"/>
      <c r="K511" s="69"/>
      <c r="L511" s="69"/>
    </row>
    <row r="512" spans="1:12" ht="14.25" customHeight="1" x14ac:dyDescent="0.2">
      <c r="A512" s="1606"/>
      <c r="B512" s="1606"/>
      <c r="C512" s="1652"/>
      <c r="D512" s="1652"/>
      <c r="E512" s="322" t="s">
        <v>256</v>
      </c>
      <c r="F512" s="115">
        <f t="shared" si="96"/>
        <v>0</v>
      </c>
      <c r="G512" s="115">
        <f t="shared" si="96"/>
        <v>0</v>
      </c>
      <c r="H512" s="329">
        <f t="shared" si="94"/>
        <v>0</v>
      </c>
      <c r="I512" s="69"/>
      <c r="J512" s="69"/>
      <c r="K512" s="69"/>
      <c r="L512" s="69"/>
    </row>
    <row r="513" spans="1:12" ht="14.25" customHeight="1" x14ac:dyDescent="0.2">
      <c r="A513" s="1606"/>
      <c r="B513" s="1606"/>
      <c r="C513" s="1652"/>
      <c r="D513" s="1652" t="s">
        <v>54</v>
      </c>
      <c r="E513" s="671" t="s">
        <v>65</v>
      </c>
      <c r="F513" s="115"/>
      <c r="G513" s="329"/>
      <c r="H513" s="329">
        <f t="shared" si="94"/>
        <v>0</v>
      </c>
      <c r="I513" s="69"/>
      <c r="J513" s="69"/>
      <c r="K513" s="69"/>
      <c r="L513" s="69"/>
    </row>
    <row r="514" spans="1:12" ht="14.25" customHeight="1" x14ac:dyDescent="0.2">
      <c r="A514" s="1606"/>
      <c r="B514" s="1606"/>
      <c r="C514" s="1652"/>
      <c r="D514" s="1652"/>
      <c r="E514" s="322" t="s">
        <v>254</v>
      </c>
      <c r="F514" s="115"/>
      <c r="G514" s="329"/>
      <c r="H514" s="329">
        <f t="shared" si="94"/>
        <v>0</v>
      </c>
      <c r="I514" s="69"/>
      <c r="J514" s="69"/>
      <c r="K514" s="69"/>
      <c r="L514" s="69"/>
    </row>
    <row r="515" spans="1:12" ht="14.25" customHeight="1" x14ac:dyDescent="0.2">
      <c r="A515" s="1606"/>
      <c r="B515" s="1606"/>
      <c r="C515" s="1652"/>
      <c r="D515" s="1652"/>
      <c r="E515" s="322" t="s">
        <v>255</v>
      </c>
      <c r="F515" s="115"/>
      <c r="G515" s="329"/>
      <c r="H515" s="329">
        <f t="shared" si="94"/>
        <v>0</v>
      </c>
      <c r="I515" s="69"/>
      <c r="J515" s="69"/>
      <c r="K515" s="69"/>
      <c r="L515" s="69"/>
    </row>
    <row r="516" spans="1:12" ht="14.25" customHeight="1" x14ac:dyDescent="0.2">
      <c r="A516" s="1606"/>
      <c r="B516" s="1606"/>
      <c r="C516" s="1652"/>
      <c r="D516" s="1652"/>
      <c r="E516" s="322" t="s">
        <v>256</v>
      </c>
      <c r="F516" s="115"/>
      <c r="G516" s="329"/>
      <c r="H516" s="329">
        <f t="shared" si="94"/>
        <v>0</v>
      </c>
      <c r="I516" s="69"/>
      <c r="J516" s="69"/>
      <c r="K516" s="69"/>
      <c r="L516" s="69"/>
    </row>
    <row r="517" spans="1:12" ht="14.25" customHeight="1" x14ac:dyDescent="0.2">
      <c r="A517" s="1606"/>
      <c r="B517" s="1606"/>
      <c r="C517" s="1652"/>
      <c r="D517" s="1652" t="s">
        <v>55</v>
      </c>
      <c r="E517" s="156" t="s">
        <v>66</v>
      </c>
      <c r="F517" s="115"/>
      <c r="G517" s="329"/>
      <c r="H517" s="329">
        <f t="shared" si="94"/>
        <v>0</v>
      </c>
      <c r="I517" s="69"/>
      <c r="J517" s="69"/>
      <c r="K517" s="69"/>
      <c r="L517" s="69"/>
    </row>
    <row r="518" spans="1:12" ht="14.25" customHeight="1" x14ac:dyDescent="0.2">
      <c r="A518" s="1606"/>
      <c r="B518" s="1606"/>
      <c r="C518" s="1652"/>
      <c r="D518" s="1652"/>
      <c r="E518" s="322" t="s">
        <v>254</v>
      </c>
      <c r="F518" s="115"/>
      <c r="G518" s="329"/>
      <c r="H518" s="329">
        <f t="shared" si="94"/>
        <v>0</v>
      </c>
      <c r="I518" s="69"/>
      <c r="J518" s="69"/>
      <c r="K518" s="69"/>
      <c r="L518" s="69"/>
    </row>
    <row r="519" spans="1:12" ht="14.25" customHeight="1" x14ac:dyDescent="0.2">
      <c r="A519" s="1606"/>
      <c r="B519" s="1606"/>
      <c r="C519" s="1652"/>
      <c r="D519" s="1652"/>
      <c r="E519" s="322" t="s">
        <v>255</v>
      </c>
      <c r="F519" s="115"/>
      <c r="G519" s="329"/>
      <c r="H519" s="329">
        <f t="shared" si="94"/>
        <v>0</v>
      </c>
      <c r="I519" s="69"/>
      <c r="J519" s="69"/>
      <c r="K519" s="69"/>
      <c r="L519" s="69"/>
    </row>
    <row r="520" spans="1:12" ht="14.25" customHeight="1" x14ac:dyDescent="0.2">
      <c r="A520" s="1606"/>
      <c r="B520" s="1606"/>
      <c r="C520" s="1652"/>
      <c r="D520" s="1652"/>
      <c r="E520" s="322" t="s">
        <v>256</v>
      </c>
      <c r="F520" s="115"/>
      <c r="G520" s="329"/>
      <c r="H520" s="329">
        <f t="shared" si="94"/>
        <v>0</v>
      </c>
      <c r="I520" s="69"/>
      <c r="J520" s="69"/>
      <c r="K520" s="69"/>
      <c r="L520" s="69"/>
    </row>
    <row r="521" spans="1:12" s="26" customFormat="1" ht="15" customHeight="1" x14ac:dyDescent="0.2">
      <c r="A521" s="1542" t="s">
        <v>113</v>
      </c>
      <c r="B521" s="1542"/>
      <c r="C521" s="1542"/>
      <c r="D521" s="1542"/>
      <c r="E521" s="1542"/>
      <c r="F521" s="117"/>
      <c r="G521" s="117"/>
      <c r="H521" s="137"/>
      <c r="I521" s="71"/>
      <c r="J521" s="71"/>
      <c r="K521" s="71"/>
      <c r="L521" s="71"/>
    </row>
    <row r="522" spans="1:12" s="26" customFormat="1" ht="15" customHeight="1" x14ac:dyDescent="0.2">
      <c r="A522" s="1679"/>
      <c r="B522" s="1644"/>
      <c r="C522" s="1645"/>
      <c r="D522" s="1640"/>
      <c r="E522" s="200" t="s">
        <v>254</v>
      </c>
      <c r="F522" s="117">
        <f>F526+F530</f>
        <v>0</v>
      </c>
      <c r="G522" s="117">
        <f>G526+G530</f>
        <v>0</v>
      </c>
      <c r="H522" s="137">
        <f>SUM(F522:G522)</f>
        <v>0</v>
      </c>
      <c r="I522" s="71"/>
      <c r="J522" s="71"/>
      <c r="K522" s="71"/>
      <c r="L522" s="71"/>
    </row>
    <row r="523" spans="1:12" s="26" customFormat="1" ht="15" customHeight="1" x14ac:dyDescent="0.2">
      <c r="A523" s="1680"/>
      <c r="B523" s="1647"/>
      <c r="C523" s="1648"/>
      <c r="D523" s="1641"/>
      <c r="E523" s="200" t="s">
        <v>255</v>
      </c>
      <c r="F523" s="117">
        <f t="shared" ref="F523:G524" si="97">F527+F531</f>
        <v>202567</v>
      </c>
      <c r="G523" s="117">
        <f t="shared" si="97"/>
        <v>0</v>
      </c>
      <c r="H523" s="137">
        <f t="shared" ref="H523:H532" si="98">SUM(F523:G523)</f>
        <v>202567</v>
      </c>
      <c r="I523" s="71"/>
      <c r="J523" s="71"/>
      <c r="K523" s="71"/>
      <c r="L523" s="71"/>
    </row>
    <row r="524" spans="1:12" s="26" customFormat="1" ht="15" customHeight="1" x14ac:dyDescent="0.2">
      <c r="A524" s="1680"/>
      <c r="B524" s="1647"/>
      <c r="C524" s="1648"/>
      <c r="D524" s="1642"/>
      <c r="E524" s="200" t="s">
        <v>256</v>
      </c>
      <c r="F524" s="117">
        <f t="shared" si="97"/>
        <v>202567</v>
      </c>
      <c r="G524" s="117">
        <f t="shared" si="97"/>
        <v>0</v>
      </c>
      <c r="H524" s="137">
        <f t="shared" si="98"/>
        <v>202567</v>
      </c>
      <c r="I524" s="71"/>
      <c r="J524" s="71"/>
      <c r="K524" s="71"/>
      <c r="L524" s="71"/>
    </row>
    <row r="525" spans="1:12" s="26" customFormat="1" ht="15" customHeight="1" x14ac:dyDescent="0.2">
      <c r="A525" s="1680"/>
      <c r="B525" s="1647"/>
      <c r="C525" s="1648"/>
      <c r="D525" s="1676" t="s">
        <v>54</v>
      </c>
      <c r="E525" s="317" t="s">
        <v>65</v>
      </c>
      <c r="F525" s="327"/>
      <c r="G525" s="327"/>
      <c r="H525" s="137"/>
      <c r="I525" s="71"/>
      <c r="J525" s="71"/>
      <c r="K525" s="71"/>
      <c r="L525" s="71"/>
    </row>
    <row r="526" spans="1:12" s="26" customFormat="1" ht="15" customHeight="1" x14ac:dyDescent="0.2">
      <c r="A526" s="1680"/>
      <c r="B526" s="1647"/>
      <c r="C526" s="1648"/>
      <c r="D526" s="1677"/>
      <c r="E526" s="200" t="s">
        <v>254</v>
      </c>
      <c r="F526" s="327">
        <f>F538</f>
        <v>0</v>
      </c>
      <c r="G526" s="327">
        <f>G538</f>
        <v>0</v>
      </c>
      <c r="H526" s="137">
        <f t="shared" si="98"/>
        <v>0</v>
      </c>
      <c r="I526" s="71"/>
      <c r="J526" s="71"/>
      <c r="K526" s="71"/>
      <c r="L526" s="71"/>
    </row>
    <row r="527" spans="1:12" s="26" customFormat="1" ht="15" customHeight="1" x14ac:dyDescent="0.2">
      <c r="A527" s="1680"/>
      <c r="B527" s="1647"/>
      <c r="C527" s="1648"/>
      <c r="D527" s="1677"/>
      <c r="E527" s="200" t="s">
        <v>255</v>
      </c>
      <c r="F527" s="327">
        <f t="shared" ref="F527:G528" si="99">F539</f>
        <v>202567</v>
      </c>
      <c r="G527" s="327">
        <f t="shared" si="99"/>
        <v>0</v>
      </c>
      <c r="H527" s="137">
        <f t="shared" si="98"/>
        <v>202567</v>
      </c>
      <c r="I527" s="71"/>
      <c r="J527" s="71"/>
      <c r="K527" s="71"/>
      <c r="L527" s="71"/>
    </row>
    <row r="528" spans="1:12" s="26" customFormat="1" ht="15" customHeight="1" x14ac:dyDescent="0.2">
      <c r="A528" s="1680"/>
      <c r="B528" s="1647"/>
      <c r="C528" s="1648"/>
      <c r="D528" s="1678"/>
      <c r="E528" s="200" t="s">
        <v>256</v>
      </c>
      <c r="F528" s="327">
        <f t="shared" si="99"/>
        <v>202567</v>
      </c>
      <c r="G528" s="327">
        <f t="shared" si="99"/>
        <v>0</v>
      </c>
      <c r="H528" s="137">
        <f t="shared" si="98"/>
        <v>202567</v>
      </c>
      <c r="I528" s="71"/>
      <c r="J528" s="71"/>
      <c r="K528" s="71"/>
      <c r="L528" s="71"/>
    </row>
    <row r="529" spans="1:12" s="26" customFormat="1" ht="15" customHeight="1" x14ac:dyDescent="0.2">
      <c r="A529" s="1680"/>
      <c r="B529" s="1647"/>
      <c r="C529" s="1648"/>
      <c r="D529" s="1676" t="s">
        <v>55</v>
      </c>
      <c r="E529" s="319" t="s">
        <v>66</v>
      </c>
      <c r="F529" s="327"/>
      <c r="G529" s="327"/>
      <c r="H529" s="137"/>
      <c r="I529" s="71"/>
      <c r="J529" s="71"/>
      <c r="K529" s="71"/>
      <c r="L529" s="71"/>
    </row>
    <row r="530" spans="1:12" s="26" customFormat="1" ht="15" customHeight="1" x14ac:dyDescent="0.2">
      <c r="A530" s="1680"/>
      <c r="B530" s="1647"/>
      <c r="C530" s="1648"/>
      <c r="D530" s="1677"/>
      <c r="E530" s="200" t="s">
        <v>254</v>
      </c>
      <c r="F530" s="327">
        <f>F542</f>
        <v>0</v>
      </c>
      <c r="G530" s="327">
        <f>G542</f>
        <v>0</v>
      </c>
      <c r="H530" s="137">
        <f t="shared" si="98"/>
        <v>0</v>
      </c>
      <c r="I530" s="71"/>
      <c r="J530" s="71"/>
      <c r="K530" s="71"/>
      <c r="L530" s="71"/>
    </row>
    <row r="531" spans="1:12" s="26" customFormat="1" ht="15" customHeight="1" x14ac:dyDescent="0.2">
      <c r="A531" s="1680"/>
      <c r="B531" s="1647"/>
      <c r="C531" s="1648"/>
      <c r="D531" s="1677"/>
      <c r="E531" s="200" t="s">
        <v>255</v>
      </c>
      <c r="F531" s="327">
        <f t="shared" ref="F531:G532" si="100">F543</f>
        <v>0</v>
      </c>
      <c r="G531" s="327">
        <f t="shared" si="100"/>
        <v>0</v>
      </c>
      <c r="H531" s="137">
        <f t="shared" si="98"/>
        <v>0</v>
      </c>
      <c r="I531" s="71"/>
      <c r="J531" s="71"/>
      <c r="K531" s="71"/>
      <c r="L531" s="71"/>
    </row>
    <row r="532" spans="1:12" s="26" customFormat="1" ht="15" customHeight="1" x14ac:dyDescent="0.2">
      <c r="A532" s="1681"/>
      <c r="B532" s="1650"/>
      <c r="C532" s="1651"/>
      <c r="D532" s="1678"/>
      <c r="E532" s="200" t="s">
        <v>256</v>
      </c>
      <c r="F532" s="327">
        <f t="shared" si="100"/>
        <v>0</v>
      </c>
      <c r="G532" s="327">
        <f t="shared" si="100"/>
        <v>0</v>
      </c>
      <c r="H532" s="137">
        <f t="shared" si="98"/>
        <v>0</v>
      </c>
      <c r="I532" s="71"/>
      <c r="J532" s="71"/>
      <c r="K532" s="71"/>
      <c r="L532" s="71"/>
    </row>
    <row r="533" spans="1:12" s="26" customFormat="1" ht="15" customHeight="1" x14ac:dyDescent="0.2">
      <c r="A533" s="1742" t="s">
        <v>2</v>
      </c>
      <c r="B533" s="1743"/>
      <c r="C533" s="1740" t="s">
        <v>137</v>
      </c>
      <c r="D533" s="1740"/>
      <c r="E533" s="313" t="s">
        <v>211</v>
      </c>
      <c r="F533" s="328"/>
      <c r="G533" s="328"/>
      <c r="H533" s="328"/>
      <c r="I533" s="71"/>
      <c r="J533" s="71"/>
      <c r="K533" s="71"/>
      <c r="L533" s="71"/>
    </row>
    <row r="534" spans="1:12" s="26" customFormat="1" ht="15" customHeight="1" x14ac:dyDescent="0.2">
      <c r="A534" s="1742"/>
      <c r="B534" s="1743"/>
      <c r="C534" s="1740"/>
      <c r="D534" s="1740"/>
      <c r="E534" s="323" t="s">
        <v>254</v>
      </c>
      <c r="F534" s="328">
        <f>F538+F542</f>
        <v>0</v>
      </c>
      <c r="G534" s="328">
        <f>G538+G542</f>
        <v>0</v>
      </c>
      <c r="H534" s="328">
        <f>F534+G534</f>
        <v>0</v>
      </c>
      <c r="I534" s="71"/>
      <c r="J534" s="71"/>
      <c r="K534" s="71"/>
      <c r="L534" s="71"/>
    </row>
    <row r="535" spans="1:12" s="26" customFormat="1" ht="15" customHeight="1" x14ac:dyDescent="0.2">
      <c r="A535" s="1742"/>
      <c r="B535" s="1743"/>
      <c r="C535" s="1740"/>
      <c r="D535" s="1740"/>
      <c r="E535" s="323" t="s">
        <v>255</v>
      </c>
      <c r="F535" s="328">
        <f>F539+F543</f>
        <v>202567</v>
      </c>
      <c r="G535" s="328">
        <f>G539+G543</f>
        <v>0</v>
      </c>
      <c r="H535" s="328">
        <f t="shared" ref="H535:H536" si="101">F535+G535</f>
        <v>202567</v>
      </c>
      <c r="I535" s="71"/>
      <c r="J535" s="71"/>
      <c r="K535" s="71"/>
      <c r="L535" s="71"/>
    </row>
    <row r="536" spans="1:12" s="26" customFormat="1" ht="15" customHeight="1" x14ac:dyDescent="0.2">
      <c r="A536" s="1742"/>
      <c r="B536" s="1743"/>
      <c r="C536" s="1740"/>
      <c r="D536" s="1741"/>
      <c r="E536" s="323" t="s">
        <v>256</v>
      </c>
      <c r="F536" s="328">
        <f t="shared" ref="F536:G536" si="102">F540+F544</f>
        <v>202567</v>
      </c>
      <c r="G536" s="328">
        <f t="shared" si="102"/>
        <v>0</v>
      </c>
      <c r="H536" s="328">
        <f t="shared" si="101"/>
        <v>202567</v>
      </c>
      <c r="I536" s="71"/>
      <c r="J536" s="71"/>
      <c r="K536" s="71"/>
      <c r="L536" s="71"/>
    </row>
    <row r="537" spans="1:12" ht="15" customHeight="1" x14ac:dyDescent="0.2">
      <c r="A537" s="1742"/>
      <c r="B537" s="1743"/>
      <c r="C537" s="1740"/>
      <c r="D537" s="1744" t="s">
        <v>54</v>
      </c>
      <c r="E537" s="324" t="s">
        <v>65</v>
      </c>
      <c r="F537" s="328"/>
      <c r="G537" s="328"/>
      <c r="H537" s="328"/>
      <c r="I537" s="69"/>
      <c r="J537" s="69"/>
      <c r="K537" s="69"/>
      <c r="L537" s="69"/>
    </row>
    <row r="538" spans="1:12" ht="15" customHeight="1" x14ac:dyDescent="0.2">
      <c r="A538" s="1742"/>
      <c r="B538" s="1743"/>
      <c r="C538" s="1740"/>
      <c r="D538" s="1740"/>
      <c r="E538" s="323" t="s">
        <v>254</v>
      </c>
      <c r="F538" s="328">
        <f>F550+F562+F574</f>
        <v>0</v>
      </c>
      <c r="G538" s="328">
        <f>G550+G562+G574</f>
        <v>0</v>
      </c>
      <c r="H538" s="328">
        <f>F538+G538</f>
        <v>0</v>
      </c>
      <c r="I538" s="69"/>
      <c r="J538" s="69"/>
      <c r="K538" s="69"/>
      <c r="L538" s="69"/>
    </row>
    <row r="539" spans="1:12" ht="15" customHeight="1" x14ac:dyDescent="0.2">
      <c r="A539" s="1742"/>
      <c r="B539" s="1743"/>
      <c r="C539" s="1740"/>
      <c r="D539" s="1740"/>
      <c r="E539" s="323" t="s">
        <v>255</v>
      </c>
      <c r="F539" s="328">
        <f t="shared" ref="F539:F540" si="103">F551+F563+F575</f>
        <v>202567</v>
      </c>
      <c r="G539" s="328">
        <f t="shared" ref="G539:G540" si="104">G551+G563+G575</f>
        <v>0</v>
      </c>
      <c r="H539" s="328">
        <f t="shared" ref="H539:H580" si="105">F539+G539</f>
        <v>202567</v>
      </c>
      <c r="I539" s="69"/>
      <c r="J539" s="69"/>
      <c r="K539" s="69"/>
      <c r="L539" s="69"/>
    </row>
    <row r="540" spans="1:12" ht="15" customHeight="1" x14ac:dyDescent="0.2">
      <c r="A540" s="1742"/>
      <c r="B540" s="1743"/>
      <c r="C540" s="1740"/>
      <c r="D540" s="1741"/>
      <c r="E540" s="323" t="s">
        <v>256</v>
      </c>
      <c r="F540" s="328">
        <f t="shared" si="103"/>
        <v>202567</v>
      </c>
      <c r="G540" s="328">
        <f t="shared" si="104"/>
        <v>0</v>
      </c>
      <c r="H540" s="328">
        <f t="shared" si="105"/>
        <v>202567</v>
      </c>
      <c r="I540" s="69"/>
      <c r="J540" s="69"/>
      <c r="K540" s="69"/>
      <c r="L540" s="69"/>
    </row>
    <row r="541" spans="1:12" ht="15" customHeight="1" x14ac:dyDescent="0.2">
      <c r="A541" s="1742"/>
      <c r="B541" s="1743"/>
      <c r="C541" s="1740"/>
      <c r="D541" s="1744" t="s">
        <v>55</v>
      </c>
      <c r="E541" s="325" t="s">
        <v>66</v>
      </c>
      <c r="F541" s="328"/>
      <c r="G541" s="328"/>
      <c r="H541" s="328"/>
      <c r="I541" s="69"/>
      <c r="J541" s="69"/>
      <c r="K541" s="69"/>
      <c r="L541" s="69"/>
    </row>
    <row r="542" spans="1:12" ht="15" customHeight="1" x14ac:dyDescent="0.2">
      <c r="A542" s="1742"/>
      <c r="B542" s="1743"/>
      <c r="C542" s="1740"/>
      <c r="D542" s="1740"/>
      <c r="E542" s="323" t="s">
        <v>254</v>
      </c>
      <c r="F542" s="328">
        <f>F554+F566+F574</f>
        <v>0</v>
      </c>
      <c r="G542" s="328">
        <f>G554+G566+G574</f>
        <v>0</v>
      </c>
      <c r="H542" s="328">
        <f t="shared" si="105"/>
        <v>0</v>
      </c>
      <c r="I542" s="69"/>
      <c r="J542" s="69"/>
      <c r="K542" s="69"/>
      <c r="L542" s="69"/>
    </row>
    <row r="543" spans="1:12" ht="15" customHeight="1" x14ac:dyDescent="0.2">
      <c r="A543" s="1742"/>
      <c r="B543" s="1743"/>
      <c r="C543" s="1740"/>
      <c r="D543" s="1740"/>
      <c r="E543" s="323" t="s">
        <v>255</v>
      </c>
      <c r="F543" s="328"/>
      <c r="G543" s="328">
        <f>G555+G567+G575</f>
        <v>0</v>
      </c>
      <c r="H543" s="328">
        <f>F543+G543</f>
        <v>0</v>
      </c>
      <c r="I543" s="69"/>
      <c r="J543" s="69"/>
      <c r="K543" s="69"/>
      <c r="L543" s="69"/>
    </row>
    <row r="544" spans="1:12" ht="15" customHeight="1" x14ac:dyDescent="0.2">
      <c r="A544" s="1742"/>
      <c r="B544" s="1743"/>
      <c r="C544" s="1740"/>
      <c r="D544" s="1741"/>
      <c r="E544" s="323" t="s">
        <v>256</v>
      </c>
      <c r="F544" s="328"/>
      <c r="G544" s="328">
        <f t="shared" ref="G544" si="106">G556+G568+G576</f>
        <v>0</v>
      </c>
      <c r="H544" s="328">
        <f t="shared" si="105"/>
        <v>0</v>
      </c>
      <c r="I544" s="69"/>
      <c r="J544" s="69"/>
      <c r="K544" s="69"/>
      <c r="L544" s="69"/>
    </row>
    <row r="545" spans="1:12" ht="15" customHeight="1" x14ac:dyDescent="0.2">
      <c r="A545" s="1606"/>
      <c r="B545" s="1606"/>
      <c r="C545" s="1606"/>
      <c r="D545" s="1652"/>
      <c r="E545" s="125" t="s">
        <v>207</v>
      </c>
      <c r="F545" s="329"/>
      <c r="G545" s="329"/>
      <c r="H545" s="329"/>
      <c r="I545" s="69"/>
      <c r="J545" s="69"/>
      <c r="K545" s="69"/>
      <c r="L545" s="69"/>
    </row>
    <row r="546" spans="1:12" ht="15" customHeight="1" x14ac:dyDescent="0.2">
      <c r="A546" s="1606"/>
      <c r="B546" s="1606"/>
      <c r="C546" s="1606"/>
      <c r="D546" s="1652"/>
      <c r="E546" s="322" t="s">
        <v>254</v>
      </c>
      <c r="F546" s="329">
        <f>F550+F554</f>
        <v>0</v>
      </c>
      <c r="G546" s="329">
        <f>G550+G554</f>
        <v>0</v>
      </c>
      <c r="H546" s="329">
        <f t="shared" si="105"/>
        <v>0</v>
      </c>
      <c r="I546" s="69"/>
      <c r="J546" s="69"/>
      <c r="K546" s="69"/>
      <c r="L546" s="69"/>
    </row>
    <row r="547" spans="1:12" ht="15" customHeight="1" x14ac:dyDescent="0.2">
      <c r="A547" s="1606"/>
      <c r="B547" s="1606"/>
      <c r="C547" s="1606"/>
      <c r="D547" s="1652"/>
      <c r="E547" s="322" t="s">
        <v>255</v>
      </c>
      <c r="F547" s="329">
        <f t="shared" ref="F547:G548" si="107">F551+F555</f>
        <v>187373</v>
      </c>
      <c r="G547" s="329">
        <f t="shared" si="107"/>
        <v>0</v>
      </c>
      <c r="H547" s="329">
        <f t="shared" si="105"/>
        <v>187373</v>
      </c>
      <c r="I547" s="69"/>
      <c r="J547" s="69"/>
      <c r="K547" s="69"/>
      <c r="L547" s="69"/>
    </row>
    <row r="548" spans="1:12" ht="15" customHeight="1" x14ac:dyDescent="0.2">
      <c r="A548" s="1606"/>
      <c r="B548" s="1606"/>
      <c r="C548" s="1606"/>
      <c r="D548" s="1652"/>
      <c r="E548" s="322" t="s">
        <v>256</v>
      </c>
      <c r="F548" s="329">
        <f t="shared" si="107"/>
        <v>187373</v>
      </c>
      <c r="G548" s="329">
        <f t="shared" si="107"/>
        <v>0</v>
      </c>
      <c r="H548" s="329">
        <f t="shared" si="105"/>
        <v>187373</v>
      </c>
      <c r="I548" s="69"/>
      <c r="J548" s="69"/>
      <c r="K548" s="69"/>
      <c r="L548" s="69"/>
    </row>
    <row r="549" spans="1:12" ht="15" customHeight="1" x14ac:dyDescent="0.2">
      <c r="A549" s="1606"/>
      <c r="B549" s="1606"/>
      <c r="C549" s="1606"/>
      <c r="D549" s="1652" t="s">
        <v>54</v>
      </c>
      <c r="E549" s="122" t="s">
        <v>65</v>
      </c>
      <c r="F549" s="329"/>
      <c r="G549" s="329"/>
      <c r="H549" s="329">
        <f t="shared" si="105"/>
        <v>0</v>
      </c>
      <c r="I549" s="69"/>
      <c r="J549" s="69"/>
      <c r="K549" s="69"/>
      <c r="L549" s="69"/>
    </row>
    <row r="550" spans="1:12" ht="15" customHeight="1" x14ac:dyDescent="0.2">
      <c r="A550" s="1606"/>
      <c r="B550" s="1606"/>
      <c r="C550" s="1606"/>
      <c r="D550" s="1652"/>
      <c r="E550" s="322" t="s">
        <v>254</v>
      </c>
      <c r="F550" s="329">
        <v>0</v>
      </c>
      <c r="G550" s="329"/>
      <c r="H550" s="329">
        <f t="shared" si="105"/>
        <v>0</v>
      </c>
      <c r="I550" s="69"/>
      <c r="J550" s="69"/>
      <c r="K550" s="69"/>
      <c r="L550" s="69"/>
    </row>
    <row r="551" spans="1:12" ht="15" customHeight="1" x14ac:dyDescent="0.2">
      <c r="A551" s="1606"/>
      <c r="B551" s="1606"/>
      <c r="C551" s="1606"/>
      <c r="D551" s="1652"/>
      <c r="E551" s="322" t="s">
        <v>255</v>
      </c>
      <c r="F551" s="329">
        <v>187373</v>
      </c>
      <c r="G551" s="329"/>
      <c r="H551" s="329">
        <f t="shared" si="105"/>
        <v>187373</v>
      </c>
      <c r="I551" s="69"/>
      <c r="J551" s="69"/>
      <c r="K551" s="69"/>
      <c r="L551" s="69"/>
    </row>
    <row r="552" spans="1:12" ht="15" customHeight="1" x14ac:dyDescent="0.2">
      <c r="A552" s="1606"/>
      <c r="B552" s="1606"/>
      <c r="C552" s="1606"/>
      <c r="D552" s="1652"/>
      <c r="E552" s="322" t="s">
        <v>256</v>
      </c>
      <c r="F552" s="329">
        <v>187373</v>
      </c>
      <c r="G552" s="329"/>
      <c r="H552" s="329">
        <f t="shared" si="105"/>
        <v>187373</v>
      </c>
      <c r="I552" s="69"/>
      <c r="J552" s="69"/>
      <c r="K552" s="69"/>
      <c r="L552" s="69"/>
    </row>
    <row r="553" spans="1:12" ht="15" customHeight="1" x14ac:dyDescent="0.2">
      <c r="A553" s="1606"/>
      <c r="B553" s="1606"/>
      <c r="C553" s="1606"/>
      <c r="D553" s="1652" t="s">
        <v>55</v>
      </c>
      <c r="E553" s="121" t="s">
        <v>66</v>
      </c>
      <c r="F553" s="329"/>
      <c r="G553" s="329"/>
      <c r="H553" s="329">
        <f t="shared" si="105"/>
        <v>0</v>
      </c>
      <c r="I553" s="69"/>
      <c r="J553" s="69"/>
      <c r="K553" s="69"/>
      <c r="L553" s="69"/>
    </row>
    <row r="554" spans="1:12" ht="15" customHeight="1" x14ac:dyDescent="0.2">
      <c r="A554" s="1606"/>
      <c r="B554" s="1606"/>
      <c r="C554" s="1606"/>
      <c r="D554" s="1652"/>
      <c r="E554" s="322" t="s">
        <v>254</v>
      </c>
      <c r="F554" s="329"/>
      <c r="G554" s="329"/>
      <c r="H554" s="329">
        <f t="shared" si="105"/>
        <v>0</v>
      </c>
      <c r="I554" s="69"/>
      <c r="J554" s="69"/>
      <c r="K554" s="69"/>
      <c r="L554" s="69"/>
    </row>
    <row r="555" spans="1:12" ht="15" customHeight="1" x14ac:dyDescent="0.2">
      <c r="A555" s="1606"/>
      <c r="B555" s="1606"/>
      <c r="C555" s="1606"/>
      <c r="D555" s="1652"/>
      <c r="E555" s="322" t="s">
        <v>255</v>
      </c>
      <c r="F555" s="329"/>
      <c r="G555" s="329"/>
      <c r="H555" s="329">
        <f t="shared" si="105"/>
        <v>0</v>
      </c>
      <c r="I555" s="69"/>
      <c r="J555" s="69"/>
      <c r="K555" s="69"/>
      <c r="L555" s="69"/>
    </row>
    <row r="556" spans="1:12" ht="15" customHeight="1" x14ac:dyDescent="0.2">
      <c r="A556" s="1606"/>
      <c r="B556" s="1606"/>
      <c r="C556" s="1606"/>
      <c r="D556" s="1652"/>
      <c r="E556" s="322" t="s">
        <v>256</v>
      </c>
      <c r="F556" s="329"/>
      <c r="G556" s="329"/>
      <c r="H556" s="329">
        <f t="shared" si="105"/>
        <v>0</v>
      </c>
      <c r="I556" s="69"/>
      <c r="J556" s="69"/>
      <c r="K556" s="69"/>
      <c r="L556" s="69"/>
    </row>
    <row r="557" spans="1:12" ht="15" customHeight="1" x14ac:dyDescent="0.2">
      <c r="A557" s="1606"/>
      <c r="B557" s="1606"/>
      <c r="C557" s="1606"/>
      <c r="D557" s="1652"/>
      <c r="E557" s="195" t="s">
        <v>188</v>
      </c>
      <c r="F557" s="329"/>
      <c r="G557" s="329"/>
      <c r="H557" s="329"/>
      <c r="I557" s="69"/>
      <c r="J557" s="69"/>
      <c r="K557" s="69"/>
      <c r="L557" s="69"/>
    </row>
    <row r="558" spans="1:12" ht="15" customHeight="1" x14ac:dyDescent="0.2">
      <c r="A558" s="1606"/>
      <c r="B558" s="1606"/>
      <c r="C558" s="1606"/>
      <c r="D558" s="1652"/>
      <c r="E558" s="322" t="s">
        <v>254</v>
      </c>
      <c r="F558" s="329">
        <f>F562+F566</f>
        <v>0</v>
      </c>
      <c r="G558" s="329">
        <f>G562+G566</f>
        <v>0</v>
      </c>
      <c r="H558" s="329">
        <f t="shared" si="105"/>
        <v>0</v>
      </c>
      <c r="I558" s="69"/>
      <c r="J558" s="69"/>
      <c r="K558" s="69"/>
      <c r="L558" s="69"/>
    </row>
    <row r="559" spans="1:12" ht="15" customHeight="1" x14ac:dyDescent="0.2">
      <c r="A559" s="1606"/>
      <c r="B559" s="1606"/>
      <c r="C559" s="1606"/>
      <c r="D559" s="1652"/>
      <c r="E559" s="322" t="s">
        <v>255</v>
      </c>
      <c r="F559" s="329">
        <f t="shared" ref="F559:G560" si="108">F563+F567</f>
        <v>738</v>
      </c>
      <c r="G559" s="329">
        <f t="shared" si="108"/>
        <v>0</v>
      </c>
      <c r="H559" s="329">
        <f t="shared" si="105"/>
        <v>738</v>
      </c>
      <c r="I559" s="69"/>
      <c r="J559" s="69"/>
      <c r="K559" s="69"/>
      <c r="L559" s="69"/>
    </row>
    <row r="560" spans="1:12" ht="15" customHeight="1" x14ac:dyDescent="0.2">
      <c r="A560" s="1606"/>
      <c r="B560" s="1606"/>
      <c r="C560" s="1606"/>
      <c r="D560" s="1652"/>
      <c r="E560" s="322" t="s">
        <v>256</v>
      </c>
      <c r="F560" s="329">
        <f t="shared" si="108"/>
        <v>738</v>
      </c>
      <c r="G560" s="329">
        <f t="shared" si="108"/>
        <v>0</v>
      </c>
      <c r="H560" s="329">
        <f t="shared" si="105"/>
        <v>738</v>
      </c>
      <c r="I560" s="69"/>
      <c r="J560" s="69"/>
      <c r="K560" s="69"/>
      <c r="L560" s="69"/>
    </row>
    <row r="561" spans="1:12" ht="15" customHeight="1" x14ac:dyDescent="0.2">
      <c r="A561" s="1606"/>
      <c r="B561" s="1606"/>
      <c r="C561" s="1606"/>
      <c r="D561" s="1652" t="s">
        <v>54</v>
      </c>
      <c r="E561" s="122" t="s">
        <v>65</v>
      </c>
      <c r="F561" s="329"/>
      <c r="G561" s="329"/>
      <c r="H561" s="329"/>
      <c r="I561" s="69"/>
      <c r="J561" s="69"/>
      <c r="K561" s="69"/>
      <c r="L561" s="69"/>
    </row>
    <row r="562" spans="1:12" ht="15" customHeight="1" x14ac:dyDescent="0.2">
      <c r="A562" s="1606"/>
      <c r="B562" s="1606"/>
      <c r="C562" s="1606"/>
      <c r="D562" s="1652"/>
      <c r="E562" s="322" t="s">
        <v>254</v>
      </c>
      <c r="F562" s="329">
        <v>0</v>
      </c>
      <c r="G562" s="329"/>
      <c r="H562" s="329">
        <f t="shared" si="105"/>
        <v>0</v>
      </c>
      <c r="I562" s="69"/>
      <c r="J562" s="69"/>
      <c r="K562" s="69"/>
      <c r="L562" s="69"/>
    </row>
    <row r="563" spans="1:12" ht="15" customHeight="1" x14ac:dyDescent="0.2">
      <c r="A563" s="1606"/>
      <c r="B563" s="1606"/>
      <c r="C563" s="1606"/>
      <c r="D563" s="1652"/>
      <c r="E563" s="322" t="s">
        <v>255</v>
      </c>
      <c r="F563" s="329">
        <v>738</v>
      </c>
      <c r="G563" s="329"/>
      <c r="H563" s="329">
        <f t="shared" si="105"/>
        <v>738</v>
      </c>
      <c r="I563" s="69"/>
      <c r="J563" s="69"/>
      <c r="K563" s="69"/>
      <c r="L563" s="69"/>
    </row>
    <row r="564" spans="1:12" ht="15" customHeight="1" x14ac:dyDescent="0.2">
      <c r="A564" s="1606"/>
      <c r="B564" s="1606"/>
      <c r="C564" s="1606"/>
      <c r="D564" s="1652"/>
      <c r="E564" s="322" t="s">
        <v>256</v>
      </c>
      <c r="F564" s="329">
        <v>738</v>
      </c>
      <c r="G564" s="329"/>
      <c r="H564" s="329">
        <f t="shared" si="105"/>
        <v>738</v>
      </c>
      <c r="I564" s="69"/>
      <c r="J564" s="69"/>
      <c r="K564" s="69"/>
      <c r="L564" s="69"/>
    </row>
    <row r="565" spans="1:12" ht="15" customHeight="1" x14ac:dyDescent="0.2">
      <c r="A565" s="1606"/>
      <c r="B565" s="1606"/>
      <c r="C565" s="1606"/>
      <c r="D565" s="1652" t="s">
        <v>55</v>
      </c>
      <c r="E565" s="129" t="s">
        <v>66</v>
      </c>
      <c r="F565" s="329"/>
      <c r="G565" s="329"/>
      <c r="H565" s="329">
        <f t="shared" si="105"/>
        <v>0</v>
      </c>
      <c r="I565" s="69"/>
      <c r="J565" s="69"/>
      <c r="K565" s="69"/>
      <c r="L565" s="69"/>
    </row>
    <row r="566" spans="1:12" ht="15" customHeight="1" x14ac:dyDescent="0.2">
      <c r="A566" s="1606"/>
      <c r="B566" s="1606"/>
      <c r="C566" s="1606"/>
      <c r="D566" s="1652"/>
      <c r="E566" s="322" t="s">
        <v>254</v>
      </c>
      <c r="F566" s="329"/>
      <c r="G566" s="329"/>
      <c r="H566" s="329">
        <f t="shared" si="105"/>
        <v>0</v>
      </c>
      <c r="I566" s="69"/>
      <c r="J566" s="69"/>
      <c r="K566" s="69"/>
      <c r="L566" s="69"/>
    </row>
    <row r="567" spans="1:12" ht="15" customHeight="1" x14ac:dyDescent="0.2">
      <c r="A567" s="1606"/>
      <c r="B567" s="1606"/>
      <c r="C567" s="1606"/>
      <c r="D567" s="1652"/>
      <c r="E567" s="322" t="s">
        <v>255</v>
      </c>
      <c r="F567" s="329"/>
      <c r="G567" s="329"/>
      <c r="H567" s="329">
        <f t="shared" si="105"/>
        <v>0</v>
      </c>
      <c r="I567" s="69"/>
      <c r="J567" s="69"/>
      <c r="K567" s="69"/>
      <c r="L567" s="69"/>
    </row>
    <row r="568" spans="1:12" ht="15" customHeight="1" x14ac:dyDescent="0.2">
      <c r="A568" s="1606"/>
      <c r="B568" s="1606"/>
      <c r="C568" s="1606"/>
      <c r="D568" s="1652"/>
      <c r="E568" s="322" t="s">
        <v>256</v>
      </c>
      <c r="F568" s="329"/>
      <c r="G568" s="329"/>
      <c r="H568" s="329">
        <f t="shared" si="105"/>
        <v>0</v>
      </c>
      <c r="I568" s="69"/>
      <c r="J568" s="69"/>
      <c r="K568" s="69"/>
      <c r="L568" s="69"/>
    </row>
    <row r="569" spans="1:12" ht="15" customHeight="1" x14ac:dyDescent="0.2">
      <c r="A569" s="1606"/>
      <c r="B569" s="1606"/>
      <c r="C569" s="1606"/>
      <c r="D569" s="1652"/>
      <c r="E569" s="195" t="s">
        <v>189</v>
      </c>
      <c r="F569" s="329"/>
      <c r="G569" s="329"/>
      <c r="H569" s="329"/>
      <c r="I569" s="69"/>
      <c r="J569" s="69"/>
      <c r="K569" s="69"/>
      <c r="L569" s="69"/>
    </row>
    <row r="570" spans="1:12" ht="15" customHeight="1" x14ac:dyDescent="0.2">
      <c r="A570" s="1606"/>
      <c r="B570" s="1606"/>
      <c r="C570" s="1606"/>
      <c r="D570" s="1652"/>
      <c r="E570" s="322" t="s">
        <v>254</v>
      </c>
      <c r="F570" s="329">
        <f>F574+F578</f>
        <v>0</v>
      </c>
      <c r="G570" s="329">
        <f>G574+G578</f>
        <v>0</v>
      </c>
      <c r="H570" s="329">
        <f t="shared" si="105"/>
        <v>0</v>
      </c>
      <c r="I570" s="69"/>
      <c r="J570" s="69"/>
      <c r="K570" s="69"/>
      <c r="L570" s="69"/>
    </row>
    <row r="571" spans="1:12" ht="15" customHeight="1" x14ac:dyDescent="0.2">
      <c r="A571" s="1606"/>
      <c r="B571" s="1606"/>
      <c r="C571" s="1606"/>
      <c r="D571" s="1652"/>
      <c r="E571" s="322" t="s">
        <v>255</v>
      </c>
      <c r="F571" s="329">
        <f t="shared" ref="F571:F572" si="109">F575+F579</f>
        <v>14456</v>
      </c>
      <c r="G571" s="329">
        <f t="shared" ref="G571:G572" si="110">G575+G579</f>
        <v>0</v>
      </c>
      <c r="H571" s="329">
        <f t="shared" si="105"/>
        <v>14456</v>
      </c>
      <c r="I571" s="69"/>
      <c r="J571" s="69"/>
      <c r="K571" s="69"/>
      <c r="L571" s="69"/>
    </row>
    <row r="572" spans="1:12" ht="15" customHeight="1" x14ac:dyDescent="0.2">
      <c r="A572" s="1606"/>
      <c r="B572" s="1606"/>
      <c r="C572" s="1606"/>
      <c r="D572" s="1652"/>
      <c r="E572" s="322" t="s">
        <v>256</v>
      </c>
      <c r="F572" s="329">
        <f t="shared" si="109"/>
        <v>14456</v>
      </c>
      <c r="G572" s="329">
        <f t="shared" si="110"/>
        <v>0</v>
      </c>
      <c r="H572" s="329">
        <f t="shared" si="105"/>
        <v>14456</v>
      </c>
      <c r="I572" s="69"/>
      <c r="J572" s="69"/>
      <c r="K572" s="69"/>
      <c r="L572" s="69"/>
    </row>
    <row r="573" spans="1:12" ht="15" customHeight="1" x14ac:dyDescent="0.2">
      <c r="A573" s="1606"/>
      <c r="B573" s="1606"/>
      <c r="C573" s="1606"/>
      <c r="D573" s="1652" t="s">
        <v>54</v>
      </c>
      <c r="E573" s="122" t="s">
        <v>65</v>
      </c>
      <c r="F573" s="329"/>
      <c r="G573" s="329"/>
      <c r="H573" s="329">
        <f t="shared" si="105"/>
        <v>0</v>
      </c>
      <c r="I573" s="69"/>
      <c r="J573" s="69"/>
      <c r="K573" s="69"/>
      <c r="L573" s="69"/>
    </row>
    <row r="574" spans="1:12" ht="15" customHeight="1" x14ac:dyDescent="0.2">
      <c r="A574" s="1606"/>
      <c r="B574" s="1606"/>
      <c r="C574" s="1606"/>
      <c r="D574" s="1652"/>
      <c r="E574" s="322" t="s">
        <v>254</v>
      </c>
      <c r="F574" s="329">
        <v>0</v>
      </c>
      <c r="G574" s="329"/>
      <c r="H574" s="329">
        <f t="shared" si="105"/>
        <v>0</v>
      </c>
      <c r="I574" s="69"/>
      <c r="J574" s="69"/>
      <c r="K574" s="69"/>
      <c r="L574" s="69"/>
    </row>
    <row r="575" spans="1:12" ht="15" customHeight="1" x14ac:dyDescent="0.2">
      <c r="A575" s="1606"/>
      <c r="B575" s="1606"/>
      <c r="C575" s="1606"/>
      <c r="D575" s="1652"/>
      <c r="E575" s="322" t="s">
        <v>255</v>
      </c>
      <c r="F575" s="329">
        <v>14456</v>
      </c>
      <c r="G575" s="329"/>
      <c r="H575" s="329">
        <f t="shared" si="105"/>
        <v>14456</v>
      </c>
      <c r="I575" s="69"/>
      <c r="J575" s="69"/>
      <c r="K575" s="69"/>
      <c r="L575" s="69"/>
    </row>
    <row r="576" spans="1:12" ht="15" customHeight="1" x14ac:dyDescent="0.2">
      <c r="A576" s="1606"/>
      <c r="B576" s="1606"/>
      <c r="C576" s="1606"/>
      <c r="D576" s="1652"/>
      <c r="E576" s="322" t="s">
        <v>256</v>
      </c>
      <c r="F576" s="329">
        <v>14456</v>
      </c>
      <c r="G576" s="329"/>
      <c r="H576" s="329">
        <f t="shared" si="105"/>
        <v>14456</v>
      </c>
      <c r="I576" s="69"/>
      <c r="J576" s="69"/>
      <c r="K576" s="69"/>
      <c r="L576" s="69"/>
    </row>
    <row r="577" spans="1:12" ht="15" customHeight="1" x14ac:dyDescent="0.2">
      <c r="A577" s="1606"/>
      <c r="B577" s="1606"/>
      <c r="C577" s="1606"/>
      <c r="D577" s="1652" t="s">
        <v>55</v>
      </c>
      <c r="E577" s="121" t="s">
        <v>66</v>
      </c>
      <c r="F577" s="329"/>
      <c r="G577" s="329"/>
      <c r="H577" s="329">
        <f t="shared" si="105"/>
        <v>0</v>
      </c>
      <c r="I577" s="69"/>
      <c r="J577" s="69"/>
      <c r="K577" s="69"/>
      <c r="L577" s="69"/>
    </row>
    <row r="578" spans="1:12" ht="15" customHeight="1" x14ac:dyDescent="0.2">
      <c r="A578" s="1606"/>
      <c r="B578" s="1606"/>
      <c r="C578" s="1606"/>
      <c r="D578" s="1652"/>
      <c r="E578" s="322" t="s">
        <v>254</v>
      </c>
      <c r="F578" s="329"/>
      <c r="G578" s="329"/>
      <c r="H578" s="329">
        <f t="shared" si="105"/>
        <v>0</v>
      </c>
      <c r="I578" s="69"/>
      <c r="J578" s="69"/>
      <c r="K578" s="69"/>
      <c r="L578" s="69"/>
    </row>
    <row r="579" spans="1:12" ht="15" customHeight="1" x14ac:dyDescent="0.2">
      <c r="A579" s="1606"/>
      <c r="B579" s="1606"/>
      <c r="C579" s="1606"/>
      <c r="D579" s="1652"/>
      <c r="E579" s="322" t="s">
        <v>255</v>
      </c>
      <c r="F579" s="329"/>
      <c r="G579" s="329"/>
      <c r="H579" s="329">
        <f t="shared" si="105"/>
        <v>0</v>
      </c>
      <c r="I579" s="69"/>
      <c r="J579" s="69"/>
      <c r="K579" s="69"/>
      <c r="L579" s="69"/>
    </row>
    <row r="580" spans="1:12" ht="15" customHeight="1" x14ac:dyDescent="0.2">
      <c r="A580" s="1606"/>
      <c r="B580" s="1606"/>
      <c r="C580" s="1606"/>
      <c r="D580" s="1652"/>
      <c r="E580" s="322" t="s">
        <v>256</v>
      </c>
      <c r="F580" s="329"/>
      <c r="G580" s="329"/>
      <c r="H580" s="329">
        <f t="shared" si="105"/>
        <v>0</v>
      </c>
      <c r="I580" s="69"/>
      <c r="J580" s="69"/>
      <c r="K580" s="69"/>
      <c r="L580" s="69"/>
    </row>
    <row r="581" spans="1:12" s="9" customFormat="1" ht="16.5" customHeight="1" x14ac:dyDescent="0.2">
      <c r="A581" s="130" t="s">
        <v>83</v>
      </c>
      <c r="B581" s="131"/>
      <c r="C581" s="132"/>
      <c r="D581" s="133"/>
      <c r="E581" s="134" t="s">
        <v>69</v>
      </c>
      <c r="F581" s="135"/>
      <c r="G581" s="136"/>
      <c r="H581" s="137"/>
      <c r="I581" s="70"/>
      <c r="J581" s="70"/>
      <c r="K581" s="70"/>
      <c r="L581" s="70"/>
    </row>
    <row r="582" spans="1:12" s="9" customFormat="1" ht="16.5" customHeight="1" x14ac:dyDescent="0.2">
      <c r="A582" s="1710"/>
      <c r="B582" s="1711"/>
      <c r="C582" s="1712"/>
      <c r="D582" s="1707"/>
      <c r="E582" s="200" t="s">
        <v>254</v>
      </c>
      <c r="F582" s="135">
        <f>F586+F590</f>
        <v>11814000</v>
      </c>
      <c r="G582" s="135">
        <f>G586+G590</f>
        <v>0</v>
      </c>
      <c r="H582" s="137">
        <f>SUM(F582:G582)</f>
        <v>11814000</v>
      </c>
      <c r="I582" s="70"/>
      <c r="J582" s="70"/>
      <c r="K582" s="70"/>
      <c r="L582" s="70"/>
    </row>
    <row r="583" spans="1:12" s="9" customFormat="1" ht="16.5" customHeight="1" x14ac:dyDescent="0.2">
      <c r="A583" s="1713"/>
      <c r="B583" s="1714"/>
      <c r="C583" s="1715"/>
      <c r="D583" s="1708"/>
      <c r="E583" s="200" t="s">
        <v>255</v>
      </c>
      <c r="F583" s="135">
        <f t="shared" ref="F583:F584" si="111">F587+F591</f>
        <v>15131620</v>
      </c>
      <c r="G583" s="135">
        <f t="shared" ref="G583:G584" si="112">G587+G591</f>
        <v>0</v>
      </c>
      <c r="H583" s="137">
        <f t="shared" ref="H583:H584" si="113">SUM(F583:G583)</f>
        <v>15131620</v>
      </c>
      <c r="I583" s="70">
        <f>15131620-H583</f>
        <v>0</v>
      </c>
      <c r="J583" s="70"/>
      <c r="K583" s="70"/>
      <c r="L583" s="70"/>
    </row>
    <row r="584" spans="1:12" s="9" customFormat="1" ht="16.5" customHeight="1" x14ac:dyDescent="0.2">
      <c r="A584" s="1713"/>
      <c r="B584" s="1714"/>
      <c r="C584" s="1715"/>
      <c r="D584" s="1709"/>
      <c r="E584" s="200" t="s">
        <v>256</v>
      </c>
      <c r="F584" s="135">
        <f t="shared" si="111"/>
        <v>11810398</v>
      </c>
      <c r="G584" s="135">
        <f t="shared" si="112"/>
        <v>0</v>
      </c>
      <c r="H584" s="137">
        <f t="shared" si="113"/>
        <v>11810398</v>
      </c>
      <c r="I584" s="70">
        <f>11810398-H584</f>
        <v>0</v>
      </c>
      <c r="J584" s="70"/>
      <c r="K584" s="70"/>
      <c r="L584" s="70"/>
    </row>
    <row r="585" spans="1:12" s="9" customFormat="1" ht="16.5" customHeight="1" x14ac:dyDescent="0.2">
      <c r="A585" s="1713"/>
      <c r="B585" s="1714"/>
      <c r="C585" s="1715"/>
      <c r="D585" s="1702" t="s">
        <v>54</v>
      </c>
      <c r="E585" s="320" t="s">
        <v>65</v>
      </c>
      <c r="F585" s="318"/>
      <c r="G585" s="318"/>
      <c r="H585" s="137"/>
      <c r="I585" s="70"/>
      <c r="J585" s="70"/>
      <c r="K585" s="70"/>
      <c r="L585" s="70"/>
    </row>
    <row r="586" spans="1:12" s="9" customFormat="1" ht="16.5" customHeight="1" x14ac:dyDescent="0.2">
      <c r="A586" s="1713"/>
      <c r="B586" s="1714"/>
      <c r="C586" s="1715"/>
      <c r="D586" s="1703"/>
      <c r="E586" s="312" t="s">
        <v>254</v>
      </c>
      <c r="F586" s="316">
        <f>F70+F534+F9</f>
        <v>9273500</v>
      </c>
      <c r="G586" s="316">
        <f>G478</f>
        <v>0</v>
      </c>
      <c r="H586" s="137">
        <f>SUM(F586:G586)</f>
        <v>9273500</v>
      </c>
      <c r="I586" s="70"/>
      <c r="J586" s="70"/>
      <c r="K586" s="70"/>
      <c r="L586" s="70"/>
    </row>
    <row r="587" spans="1:12" s="9" customFormat="1" ht="16.5" customHeight="1" x14ac:dyDescent="0.2">
      <c r="A587" s="1713"/>
      <c r="B587" s="1714"/>
      <c r="C587" s="1715"/>
      <c r="D587" s="1703"/>
      <c r="E587" s="312" t="s">
        <v>255</v>
      </c>
      <c r="F587" s="316">
        <f t="shared" ref="F587:F588" si="114">F71+F535+F10</f>
        <v>11691884</v>
      </c>
      <c r="G587" s="316">
        <f t="shared" ref="G587:G588" si="115">G479</f>
        <v>0</v>
      </c>
      <c r="H587" s="137">
        <f t="shared" ref="H587:H588" si="116">SUM(F587:G587)</f>
        <v>11691884</v>
      </c>
      <c r="I587" s="70"/>
      <c r="J587" s="70"/>
      <c r="K587" s="70"/>
      <c r="L587" s="70"/>
    </row>
    <row r="588" spans="1:12" s="9" customFormat="1" ht="16.5" customHeight="1" x14ac:dyDescent="0.2">
      <c r="A588" s="1713"/>
      <c r="B588" s="1714"/>
      <c r="C588" s="1715"/>
      <c r="D588" s="1704"/>
      <c r="E588" s="312" t="s">
        <v>256</v>
      </c>
      <c r="F588" s="316">
        <f t="shared" si="114"/>
        <v>10301703</v>
      </c>
      <c r="G588" s="316">
        <f t="shared" si="115"/>
        <v>0</v>
      </c>
      <c r="H588" s="137">
        <f t="shared" si="116"/>
        <v>10301703</v>
      </c>
      <c r="I588" s="70"/>
      <c r="J588" s="70"/>
      <c r="K588" s="70"/>
      <c r="L588" s="70"/>
    </row>
    <row r="589" spans="1:12" s="10" customFormat="1" ht="12" customHeight="1" x14ac:dyDescent="0.2">
      <c r="A589" s="1713"/>
      <c r="B589" s="1714"/>
      <c r="C589" s="1715"/>
      <c r="D589" s="1705" t="s">
        <v>55</v>
      </c>
      <c r="E589" s="201" t="s">
        <v>66</v>
      </c>
      <c r="F589" s="316"/>
      <c r="G589" s="316"/>
      <c r="H589" s="137"/>
      <c r="I589" s="72"/>
      <c r="J589" s="72"/>
      <c r="K589" s="72"/>
      <c r="L589" s="72"/>
    </row>
    <row r="590" spans="1:12" s="10" customFormat="1" ht="15" customHeight="1" x14ac:dyDescent="0.2">
      <c r="A590" s="1713"/>
      <c r="B590" s="1714"/>
      <c r="C590" s="1715"/>
      <c r="D590" s="1706"/>
      <c r="E590" s="312" t="s">
        <v>254</v>
      </c>
      <c r="F590" s="316">
        <f>F74</f>
        <v>2540500</v>
      </c>
      <c r="G590" s="316">
        <f>G74</f>
        <v>0</v>
      </c>
      <c r="H590" s="137">
        <f>SUM(F590:G590)</f>
        <v>2540500</v>
      </c>
      <c r="I590" s="72"/>
      <c r="J590" s="72"/>
      <c r="K590" s="72"/>
      <c r="L590" s="72"/>
    </row>
    <row r="591" spans="1:12" s="10" customFormat="1" ht="12" customHeight="1" x14ac:dyDescent="0.2">
      <c r="A591" s="1713"/>
      <c r="B591" s="1714"/>
      <c r="C591" s="1715"/>
      <c r="D591" s="1706"/>
      <c r="E591" s="312" t="s">
        <v>255</v>
      </c>
      <c r="F591" s="316">
        <f>F75</f>
        <v>3439736</v>
      </c>
      <c r="G591" s="316">
        <f t="shared" ref="F591:G592" si="117">G75</f>
        <v>0</v>
      </c>
      <c r="H591" s="137">
        <f t="shared" ref="H591:H592" si="118">SUM(F591:G591)</f>
        <v>3439736</v>
      </c>
      <c r="I591" s="72"/>
      <c r="J591" s="72"/>
      <c r="K591" s="72"/>
      <c r="L591" s="72"/>
    </row>
    <row r="592" spans="1:12" s="10" customFormat="1" ht="12" customHeight="1" thickBot="1" x14ac:dyDescent="0.25">
      <c r="A592" s="1713"/>
      <c r="B592" s="1714"/>
      <c r="C592" s="1715"/>
      <c r="D592" s="1706"/>
      <c r="E592" s="355" t="s">
        <v>256</v>
      </c>
      <c r="F592" s="356">
        <f t="shared" si="117"/>
        <v>1508695</v>
      </c>
      <c r="G592" s="356">
        <f t="shared" si="117"/>
        <v>0</v>
      </c>
      <c r="H592" s="314">
        <f t="shared" si="118"/>
        <v>1508695</v>
      </c>
      <c r="I592" s="72"/>
      <c r="J592" s="72"/>
      <c r="K592" s="72"/>
      <c r="L592" s="72"/>
    </row>
    <row r="593" spans="1:12" s="10" customFormat="1" ht="27" customHeight="1" thickTop="1" thickBot="1" x14ac:dyDescent="0.25">
      <c r="A593" s="1305"/>
      <c r="B593" s="1306"/>
      <c r="C593" s="1307"/>
      <c r="D593" s="1306"/>
      <c r="E593" s="1308" t="s">
        <v>241</v>
      </c>
      <c r="F593" s="1161"/>
      <c r="G593" s="1161"/>
      <c r="H593" s="1309"/>
      <c r="I593" s="72"/>
      <c r="J593" s="72"/>
      <c r="K593" s="72"/>
      <c r="L593" s="72"/>
    </row>
    <row r="594" spans="1:12" s="10" customFormat="1" ht="14.25" customHeight="1" thickTop="1" x14ac:dyDescent="0.2">
      <c r="A594" s="1745" t="s">
        <v>140</v>
      </c>
      <c r="B594" s="1746"/>
      <c r="C594" s="1746"/>
      <c r="D594" s="1746"/>
      <c r="E594" s="1747"/>
      <c r="F594" s="1162"/>
      <c r="G594" s="1162"/>
      <c r="H594" s="1162"/>
      <c r="I594" s="72"/>
      <c r="J594" s="72"/>
      <c r="K594" s="72"/>
      <c r="L594" s="72"/>
    </row>
    <row r="595" spans="1:12" s="10" customFormat="1" ht="14.25" customHeight="1" x14ac:dyDescent="0.2">
      <c r="A595" s="1655"/>
      <c r="B595" s="1656"/>
      <c r="C595" s="1656"/>
      <c r="D595" s="1657"/>
      <c r="E595" s="357" t="s">
        <v>254</v>
      </c>
      <c r="F595" s="354">
        <f>F599+F627+F631+F635+F639+F643</f>
        <v>249282800</v>
      </c>
      <c r="G595" s="354"/>
      <c r="H595" s="354">
        <f t="shared" ref="H595:H597" si="119">H599+H627+H631+H635+H639+H643</f>
        <v>249282800</v>
      </c>
      <c r="I595" s="72"/>
      <c r="J595" s="72"/>
      <c r="K595" s="72"/>
      <c r="L595" s="72"/>
    </row>
    <row r="596" spans="1:12" s="10" customFormat="1" ht="14.25" customHeight="1" x14ac:dyDescent="0.2">
      <c r="A596" s="1658"/>
      <c r="B596" s="1659"/>
      <c r="C596" s="1659"/>
      <c r="D596" s="1660"/>
      <c r="E596" s="357" t="s">
        <v>255</v>
      </c>
      <c r="F596" s="354">
        <f t="shared" ref="F596:F597" si="120">F600+F628+F632+F636+F640+F644</f>
        <v>261443652</v>
      </c>
      <c r="G596" s="354"/>
      <c r="H596" s="354">
        <f t="shared" si="119"/>
        <v>261443652</v>
      </c>
      <c r="I596" s="72"/>
      <c r="J596" s="72"/>
      <c r="K596" s="72"/>
      <c r="L596" s="72"/>
    </row>
    <row r="597" spans="1:12" s="10" customFormat="1" ht="14.25" customHeight="1" thickBot="1" x14ac:dyDescent="0.25">
      <c r="A597" s="1658"/>
      <c r="B597" s="1659"/>
      <c r="C597" s="1659"/>
      <c r="D597" s="1660"/>
      <c r="E597" s="1310" t="s">
        <v>256</v>
      </c>
      <c r="F597" s="1163">
        <f t="shared" si="120"/>
        <v>252153953</v>
      </c>
      <c r="G597" s="1163"/>
      <c r="H597" s="1163">
        <f t="shared" si="119"/>
        <v>252153953</v>
      </c>
      <c r="I597" s="72"/>
      <c r="J597" s="72"/>
      <c r="K597" s="72"/>
      <c r="L597" s="72"/>
    </row>
    <row r="598" spans="1:12" ht="17.25" customHeight="1" thickTop="1" x14ac:dyDescent="0.2">
      <c r="A598" s="1738" t="s">
        <v>143</v>
      </c>
      <c r="B598" s="1739"/>
      <c r="C598" s="1739"/>
      <c r="D598" s="1739"/>
      <c r="E598" s="1739"/>
      <c r="F598" s="832"/>
      <c r="G598" s="832"/>
      <c r="H598" s="833"/>
      <c r="I598" s="69"/>
      <c r="J598" s="69"/>
      <c r="K598" s="69"/>
      <c r="L598" s="69"/>
    </row>
    <row r="599" spans="1:12" ht="17.25" customHeight="1" x14ac:dyDescent="0.2">
      <c r="A599" s="1607"/>
      <c r="B599" s="1608"/>
      <c r="C599" s="1608"/>
      <c r="D599" s="1609"/>
      <c r="E599" s="312" t="s">
        <v>254</v>
      </c>
      <c r="F599" s="327">
        <f>F603+F607+F611+F615+F619+F623</f>
        <v>204253410</v>
      </c>
      <c r="G599" s="327">
        <f>G603+G607+G611+G615+G619+G623</f>
        <v>0</v>
      </c>
      <c r="H599" s="834">
        <f>SUM(F599:G599)</f>
        <v>204253410</v>
      </c>
      <c r="I599" s="69"/>
      <c r="J599" s="69"/>
      <c r="K599" s="69"/>
      <c r="L599" s="69"/>
    </row>
    <row r="600" spans="1:12" ht="17.25" customHeight="1" x14ac:dyDescent="0.2">
      <c r="A600" s="1610"/>
      <c r="B600" s="1611"/>
      <c r="C600" s="1611"/>
      <c r="D600" s="1612"/>
      <c r="E600" s="312" t="s">
        <v>255</v>
      </c>
      <c r="F600" s="327">
        <f t="shared" ref="F600:G601" si="121">F604+F608+F612+F616+F620+F624</f>
        <v>215601162</v>
      </c>
      <c r="G600" s="327">
        <f t="shared" si="121"/>
        <v>0</v>
      </c>
      <c r="H600" s="834">
        <f t="shared" ref="H600:H663" si="122">SUM(F600:G600)</f>
        <v>215601162</v>
      </c>
      <c r="I600" s="69"/>
      <c r="J600" s="69"/>
      <c r="K600" s="69"/>
      <c r="L600" s="69"/>
    </row>
    <row r="601" spans="1:12" ht="17.25" customHeight="1" thickBot="1" x14ac:dyDescent="0.25">
      <c r="A601" s="1613"/>
      <c r="B601" s="1614"/>
      <c r="C601" s="1614"/>
      <c r="D601" s="1615"/>
      <c r="E601" s="835" t="s">
        <v>256</v>
      </c>
      <c r="F601" s="836">
        <f t="shared" si="121"/>
        <v>215601162</v>
      </c>
      <c r="G601" s="836">
        <f t="shared" si="121"/>
        <v>0</v>
      </c>
      <c r="H601" s="837">
        <f t="shared" si="122"/>
        <v>215601162</v>
      </c>
      <c r="I601" s="69"/>
      <c r="J601" s="69"/>
      <c r="K601" s="69"/>
      <c r="L601" s="69"/>
    </row>
    <row r="602" spans="1:12" s="799" customFormat="1" ht="12.75" customHeight="1" thickTop="1" x14ac:dyDescent="0.2">
      <c r="A602" s="1605">
        <v>1</v>
      </c>
      <c r="B602" s="1605"/>
      <c r="C602" s="1601" t="s">
        <v>84</v>
      </c>
      <c r="D602" s="1603" t="s">
        <v>54</v>
      </c>
      <c r="E602" s="1311" t="s">
        <v>74</v>
      </c>
      <c r="F602" s="840"/>
      <c r="G602" s="840"/>
      <c r="H602" s="840"/>
      <c r="I602" s="798"/>
      <c r="J602" s="798"/>
      <c r="K602" s="798"/>
      <c r="L602" s="798"/>
    </row>
    <row r="603" spans="1:12" s="797" customFormat="1" ht="12.75" customHeight="1" x14ac:dyDescent="0.2">
      <c r="A603" s="1606"/>
      <c r="B603" s="1606"/>
      <c r="C603" s="1602"/>
      <c r="D603" s="1604"/>
      <c r="E603" s="1027" t="s">
        <v>254</v>
      </c>
      <c r="F603" s="830">
        <v>93461742</v>
      </c>
      <c r="G603" s="830"/>
      <c r="H603" s="115">
        <f t="shared" si="122"/>
        <v>93461742</v>
      </c>
      <c r="I603" s="796"/>
      <c r="J603" s="796"/>
      <c r="K603" s="796"/>
      <c r="L603" s="796"/>
    </row>
    <row r="604" spans="1:12" s="797" customFormat="1" ht="12.75" customHeight="1" x14ac:dyDescent="0.2">
      <c r="A604" s="1606"/>
      <c r="B604" s="1606"/>
      <c r="C604" s="1602"/>
      <c r="D604" s="1604"/>
      <c r="E604" s="1027" t="s">
        <v>255</v>
      </c>
      <c r="F604" s="830">
        <v>93537138</v>
      </c>
      <c r="G604" s="830"/>
      <c r="H604" s="115">
        <f t="shared" si="122"/>
        <v>93537138</v>
      </c>
      <c r="I604" s="796"/>
      <c r="J604" s="796"/>
      <c r="K604" s="796"/>
      <c r="L604" s="796"/>
    </row>
    <row r="605" spans="1:12" s="797" customFormat="1" ht="12.75" customHeight="1" x14ac:dyDescent="0.2">
      <c r="A605" s="1606"/>
      <c r="B605" s="1606"/>
      <c r="C605" s="1602"/>
      <c r="D605" s="1604"/>
      <c r="E605" s="1027" t="s">
        <v>256</v>
      </c>
      <c r="F605" s="830">
        <v>93537138</v>
      </c>
      <c r="G605" s="830"/>
      <c r="H605" s="115">
        <f t="shared" si="122"/>
        <v>93537138</v>
      </c>
      <c r="I605" s="796"/>
      <c r="J605" s="796"/>
      <c r="K605" s="796"/>
      <c r="L605" s="796"/>
    </row>
    <row r="606" spans="1:12" s="799" customFormat="1" ht="12.75" customHeight="1" x14ac:dyDescent="0.2">
      <c r="A606" s="1589">
        <v>2</v>
      </c>
      <c r="B606" s="1591"/>
      <c r="C606" s="1673" t="s">
        <v>85</v>
      </c>
      <c r="D606" s="1689" t="s">
        <v>54</v>
      </c>
      <c r="E606" s="829" t="s">
        <v>86</v>
      </c>
      <c r="F606" s="115"/>
      <c r="G606" s="115"/>
      <c r="H606" s="115"/>
      <c r="I606" s="798"/>
      <c r="J606" s="798"/>
      <c r="K606" s="798"/>
      <c r="L606" s="798"/>
    </row>
    <row r="607" spans="1:12" s="797" customFormat="1" ht="13.5" customHeight="1" x14ac:dyDescent="0.2">
      <c r="A607" s="1592"/>
      <c r="B607" s="1594"/>
      <c r="C607" s="1674"/>
      <c r="D607" s="1690"/>
      <c r="E607" s="1027" t="s">
        <v>254</v>
      </c>
      <c r="F607" s="830">
        <v>48628200</v>
      </c>
      <c r="G607" s="830"/>
      <c r="H607" s="115">
        <f t="shared" si="122"/>
        <v>48628200</v>
      </c>
      <c r="I607" s="796"/>
      <c r="J607" s="796"/>
      <c r="K607" s="796"/>
      <c r="L607" s="796"/>
    </row>
    <row r="608" spans="1:12" s="797" customFormat="1" ht="13.5" customHeight="1" x14ac:dyDescent="0.2">
      <c r="A608" s="1592"/>
      <c r="B608" s="1594"/>
      <c r="C608" s="1674"/>
      <c r="D608" s="1690"/>
      <c r="E608" s="1027" t="s">
        <v>255</v>
      </c>
      <c r="F608" s="830">
        <v>48829966</v>
      </c>
      <c r="G608" s="830"/>
      <c r="H608" s="115">
        <f t="shared" si="122"/>
        <v>48829966</v>
      </c>
      <c r="I608" s="796"/>
      <c r="J608" s="796"/>
      <c r="K608" s="796"/>
      <c r="L608" s="796"/>
    </row>
    <row r="609" spans="1:12" s="797" customFormat="1" ht="13.5" customHeight="1" x14ac:dyDescent="0.2">
      <c r="A609" s="1595"/>
      <c r="B609" s="1597"/>
      <c r="C609" s="1601"/>
      <c r="D609" s="1603"/>
      <c r="E609" s="1027" t="s">
        <v>256</v>
      </c>
      <c r="F609" s="830">
        <v>48829966</v>
      </c>
      <c r="G609" s="830"/>
      <c r="H609" s="115">
        <f t="shared" si="122"/>
        <v>48829966</v>
      </c>
      <c r="I609" s="796"/>
      <c r="J609" s="796"/>
      <c r="K609" s="796"/>
      <c r="L609" s="796"/>
    </row>
    <row r="610" spans="1:12" s="9" customFormat="1" ht="12.75" customHeight="1" x14ac:dyDescent="0.2">
      <c r="A610" s="1589">
        <v>3</v>
      </c>
      <c r="B610" s="1591"/>
      <c r="C610" s="1673" t="s">
        <v>87</v>
      </c>
      <c r="D610" s="1670" t="s">
        <v>54</v>
      </c>
      <c r="E610" s="829" t="s">
        <v>135</v>
      </c>
      <c r="F610" s="115"/>
      <c r="G610" s="115"/>
      <c r="H610" s="115"/>
      <c r="I610" s="71"/>
      <c r="J610" s="70"/>
      <c r="K610" s="70"/>
      <c r="L610" s="70"/>
    </row>
    <row r="611" spans="1:12" s="26" customFormat="1" ht="14.25" customHeight="1" x14ac:dyDescent="0.2">
      <c r="A611" s="1592"/>
      <c r="B611" s="1594"/>
      <c r="C611" s="1674"/>
      <c r="D611" s="1671"/>
      <c r="E611" s="1027" t="s">
        <v>254</v>
      </c>
      <c r="F611" s="830">
        <v>59559548</v>
      </c>
      <c r="G611" s="830"/>
      <c r="H611" s="115">
        <f t="shared" si="122"/>
        <v>59559548</v>
      </c>
      <c r="I611" s="71"/>
      <c r="J611" s="71"/>
      <c r="K611" s="71"/>
      <c r="L611" s="71"/>
    </row>
    <row r="612" spans="1:12" s="26" customFormat="1" ht="14.25" customHeight="1" x14ac:dyDescent="0.2">
      <c r="A612" s="1592"/>
      <c r="B612" s="1594"/>
      <c r="C612" s="1674"/>
      <c r="D612" s="1671"/>
      <c r="E612" s="1027" t="s">
        <v>255</v>
      </c>
      <c r="F612" s="830">
        <v>62262768</v>
      </c>
      <c r="G612" s="830"/>
      <c r="H612" s="115">
        <f t="shared" si="122"/>
        <v>62262768</v>
      </c>
      <c r="I612" s="71"/>
      <c r="J612" s="71"/>
      <c r="K612" s="71"/>
      <c r="L612" s="71"/>
    </row>
    <row r="613" spans="1:12" s="26" customFormat="1" ht="14.25" customHeight="1" x14ac:dyDescent="0.2">
      <c r="A613" s="1595"/>
      <c r="B613" s="1597"/>
      <c r="C613" s="1601"/>
      <c r="D613" s="1672"/>
      <c r="E613" s="1027" t="s">
        <v>256</v>
      </c>
      <c r="F613" s="830">
        <v>62262768</v>
      </c>
      <c r="G613" s="830"/>
      <c r="H613" s="115">
        <f t="shared" si="122"/>
        <v>62262768</v>
      </c>
      <c r="I613" s="71"/>
      <c r="J613" s="71"/>
      <c r="K613" s="71"/>
      <c r="L613" s="71"/>
    </row>
    <row r="614" spans="1:12" s="26" customFormat="1" ht="14.25" customHeight="1" x14ac:dyDescent="0.2">
      <c r="A614" s="1664">
        <v>4</v>
      </c>
      <c r="B614" s="1665"/>
      <c r="C614" s="1586" t="s">
        <v>88</v>
      </c>
      <c r="D614" s="1670" t="s">
        <v>54</v>
      </c>
      <c r="E614" s="829" t="s">
        <v>89</v>
      </c>
      <c r="F614" s="115"/>
      <c r="G614" s="115"/>
      <c r="H614" s="115"/>
      <c r="I614" s="71"/>
      <c r="J614" s="71"/>
      <c r="K614" s="71"/>
      <c r="L614" s="71"/>
    </row>
    <row r="615" spans="1:12" s="26" customFormat="1" ht="12.75" customHeight="1" x14ac:dyDescent="0.2">
      <c r="A615" s="1666"/>
      <c r="B615" s="1667"/>
      <c r="C615" s="1587"/>
      <c r="D615" s="1671"/>
      <c r="E615" s="1027" t="s">
        <v>254</v>
      </c>
      <c r="F615" s="830">
        <v>2603920</v>
      </c>
      <c r="G615" s="830"/>
      <c r="H615" s="115">
        <f t="shared" si="122"/>
        <v>2603920</v>
      </c>
      <c r="I615" s="71"/>
      <c r="J615" s="71"/>
      <c r="K615" s="71"/>
      <c r="L615" s="71"/>
    </row>
    <row r="616" spans="1:12" s="26" customFormat="1" ht="12.75" customHeight="1" x14ac:dyDescent="0.2">
      <c r="A616" s="1666"/>
      <c r="B616" s="1667"/>
      <c r="C616" s="1587"/>
      <c r="D616" s="1671"/>
      <c r="E616" s="1027" t="s">
        <v>255</v>
      </c>
      <c r="F616" s="830">
        <v>2868237</v>
      </c>
      <c r="G616" s="830"/>
      <c r="H616" s="115">
        <f t="shared" si="122"/>
        <v>2868237</v>
      </c>
      <c r="I616" s="71"/>
      <c r="J616" s="71"/>
      <c r="K616" s="71"/>
      <c r="L616" s="71"/>
    </row>
    <row r="617" spans="1:12" s="26" customFormat="1" ht="12.75" customHeight="1" x14ac:dyDescent="0.2">
      <c r="A617" s="1668"/>
      <c r="B617" s="1669"/>
      <c r="C617" s="1588"/>
      <c r="D617" s="1672"/>
      <c r="E617" s="1027" t="s">
        <v>256</v>
      </c>
      <c r="F617" s="830">
        <v>2868237</v>
      </c>
      <c r="G617" s="830"/>
      <c r="H617" s="115">
        <f t="shared" si="122"/>
        <v>2868237</v>
      </c>
      <c r="I617" s="71"/>
      <c r="J617" s="71"/>
      <c r="K617" s="71"/>
      <c r="L617" s="71"/>
    </row>
    <row r="618" spans="1:12" s="26" customFormat="1" ht="12.75" customHeight="1" x14ac:dyDescent="0.2">
      <c r="A618" s="1589">
        <v>5</v>
      </c>
      <c r="B618" s="1591"/>
      <c r="C618" s="1673" t="s">
        <v>90</v>
      </c>
      <c r="D618" s="1689" t="s">
        <v>54</v>
      </c>
      <c r="E618" s="829" t="s">
        <v>200</v>
      </c>
      <c r="F618" s="115"/>
      <c r="G618" s="115"/>
      <c r="H618" s="115"/>
      <c r="I618" s="71"/>
      <c r="J618" s="71"/>
      <c r="K618" s="71"/>
      <c r="L618" s="71"/>
    </row>
    <row r="619" spans="1:12" s="26" customFormat="1" ht="12.75" customHeight="1" x14ac:dyDescent="0.2">
      <c r="A619" s="1592"/>
      <c r="B619" s="1594"/>
      <c r="C619" s="1674"/>
      <c r="D619" s="1690"/>
      <c r="E619" s="1027" t="s">
        <v>254</v>
      </c>
      <c r="F619" s="329">
        <v>0</v>
      </c>
      <c r="G619" s="329"/>
      <c r="H619" s="115">
        <f t="shared" si="122"/>
        <v>0</v>
      </c>
      <c r="I619" s="71"/>
      <c r="J619" s="71"/>
      <c r="K619" s="71"/>
      <c r="L619" s="71"/>
    </row>
    <row r="620" spans="1:12" s="26" customFormat="1" ht="12.75" customHeight="1" x14ac:dyDescent="0.2">
      <c r="A620" s="1592"/>
      <c r="B620" s="1594"/>
      <c r="C620" s="1674"/>
      <c r="D620" s="1690"/>
      <c r="E620" s="1027" t="s">
        <v>255</v>
      </c>
      <c r="F620" s="329">
        <v>7619074</v>
      </c>
      <c r="G620" s="329"/>
      <c r="H620" s="115">
        <f t="shared" si="122"/>
        <v>7619074</v>
      </c>
      <c r="I620" s="71"/>
      <c r="J620" s="71"/>
      <c r="K620" s="71"/>
      <c r="L620" s="71"/>
    </row>
    <row r="621" spans="1:12" s="26" customFormat="1" ht="12.75" customHeight="1" x14ac:dyDescent="0.2">
      <c r="A621" s="1595"/>
      <c r="B621" s="1597"/>
      <c r="C621" s="1601"/>
      <c r="D621" s="1603"/>
      <c r="E621" s="1027" t="s">
        <v>256</v>
      </c>
      <c r="F621" s="329">
        <v>7619074</v>
      </c>
      <c r="G621" s="329"/>
      <c r="H621" s="115">
        <f t="shared" si="122"/>
        <v>7619074</v>
      </c>
      <c r="I621" s="71"/>
      <c r="J621" s="71"/>
      <c r="K621" s="71"/>
      <c r="L621" s="71"/>
    </row>
    <row r="622" spans="1:12" ht="12.75" customHeight="1" x14ac:dyDescent="0.2">
      <c r="A622" s="1589">
        <v>6</v>
      </c>
      <c r="B622" s="1591"/>
      <c r="C622" s="1586" t="s">
        <v>91</v>
      </c>
      <c r="D622" s="1586" t="s">
        <v>54</v>
      </c>
      <c r="E622" s="1312" t="s">
        <v>92</v>
      </c>
      <c r="F622" s="329"/>
      <c r="G622" s="329"/>
      <c r="H622" s="115"/>
      <c r="I622" s="73"/>
      <c r="J622" s="69"/>
      <c r="K622" s="69"/>
      <c r="L622" s="69"/>
    </row>
    <row r="623" spans="1:12" ht="12.75" customHeight="1" x14ac:dyDescent="0.2">
      <c r="A623" s="1592"/>
      <c r="B623" s="1594"/>
      <c r="C623" s="1587"/>
      <c r="D623" s="1587"/>
      <c r="E623" s="1027" t="s">
        <v>254</v>
      </c>
      <c r="F623" s="329">
        <v>0</v>
      </c>
      <c r="G623" s="329"/>
      <c r="H623" s="115">
        <f t="shared" si="122"/>
        <v>0</v>
      </c>
      <c r="I623" s="73"/>
      <c r="J623" s="69"/>
      <c r="K623" s="69"/>
      <c r="L623" s="69"/>
    </row>
    <row r="624" spans="1:12" ht="12.75" customHeight="1" x14ac:dyDescent="0.2">
      <c r="A624" s="1592"/>
      <c r="B624" s="1594"/>
      <c r="C624" s="1587"/>
      <c r="D624" s="1587"/>
      <c r="E624" s="1027" t="s">
        <v>255</v>
      </c>
      <c r="F624" s="329">
        <v>483979</v>
      </c>
      <c r="G624" s="329"/>
      <c r="H624" s="115">
        <f t="shared" si="122"/>
        <v>483979</v>
      </c>
      <c r="I624" s="73"/>
      <c r="J624" s="69"/>
      <c r="K624" s="69"/>
      <c r="L624" s="69"/>
    </row>
    <row r="625" spans="1:12" ht="12.75" customHeight="1" thickBot="1" x14ac:dyDescent="0.25">
      <c r="A625" s="1592"/>
      <c r="B625" s="1594"/>
      <c r="C625" s="1587"/>
      <c r="D625" s="1587"/>
      <c r="E625" s="185" t="s">
        <v>256</v>
      </c>
      <c r="F625" s="342">
        <v>483979</v>
      </c>
      <c r="G625" s="342"/>
      <c r="H625" s="1313">
        <f t="shared" si="122"/>
        <v>483979</v>
      </c>
      <c r="I625" s="73"/>
      <c r="J625" s="69"/>
      <c r="K625" s="69"/>
      <c r="L625" s="69"/>
    </row>
    <row r="626" spans="1:12" ht="15.75" customHeight="1" thickTop="1" thickBot="1" x14ac:dyDescent="0.25">
      <c r="A626" s="1685" t="s">
        <v>93</v>
      </c>
      <c r="B626" s="1686"/>
      <c r="C626" s="1686"/>
      <c r="D626" s="1686"/>
      <c r="E626" s="1687"/>
      <c r="F626" s="1164"/>
      <c r="G626" s="1314"/>
      <c r="H626" s="1315"/>
      <c r="I626" s="73"/>
      <c r="J626" s="69"/>
      <c r="K626" s="69"/>
      <c r="L626" s="69"/>
    </row>
    <row r="627" spans="1:12" ht="15.75" customHeight="1" thickTop="1" x14ac:dyDescent="0.2">
      <c r="A627" s="1661"/>
      <c r="B627" s="1662"/>
      <c r="C627" s="1662"/>
      <c r="D627" s="1663"/>
      <c r="E627" s="1316" t="s">
        <v>254</v>
      </c>
      <c r="F627" s="1165">
        <v>0</v>
      </c>
      <c r="G627" s="1165"/>
      <c r="H627" s="1165">
        <f t="shared" si="122"/>
        <v>0</v>
      </c>
      <c r="I627" s="73"/>
      <c r="J627" s="69"/>
      <c r="K627" s="69"/>
      <c r="L627" s="69"/>
    </row>
    <row r="628" spans="1:12" ht="15.75" customHeight="1" x14ac:dyDescent="0.2">
      <c r="A628" s="1661"/>
      <c r="B628" s="1662"/>
      <c r="C628" s="1662"/>
      <c r="D628" s="1663"/>
      <c r="E628" s="1317" t="s">
        <v>255</v>
      </c>
      <c r="F628" s="1166">
        <v>0</v>
      </c>
      <c r="G628" s="1166"/>
      <c r="H628" s="1166">
        <f t="shared" si="122"/>
        <v>0</v>
      </c>
      <c r="I628" s="73"/>
      <c r="J628" s="69"/>
      <c r="K628" s="69"/>
      <c r="L628" s="69"/>
    </row>
    <row r="629" spans="1:12" ht="15.75" customHeight="1" thickBot="1" x14ac:dyDescent="0.25">
      <c r="A629" s="1661"/>
      <c r="B629" s="1662"/>
      <c r="C629" s="1662"/>
      <c r="D629" s="1663"/>
      <c r="E629" s="1318" t="s">
        <v>256</v>
      </c>
      <c r="F629" s="1167">
        <v>0</v>
      </c>
      <c r="G629" s="1167"/>
      <c r="H629" s="1167">
        <f t="shared" si="122"/>
        <v>0</v>
      </c>
      <c r="I629" s="73"/>
      <c r="J629" s="69"/>
      <c r="K629" s="69"/>
      <c r="L629" s="69"/>
    </row>
    <row r="630" spans="1:12" ht="15.75" customHeight="1" thickTop="1" thickBot="1" x14ac:dyDescent="0.25">
      <c r="A630" s="1685" t="s">
        <v>94</v>
      </c>
      <c r="B630" s="1686"/>
      <c r="C630" s="1686"/>
      <c r="D630" s="1686"/>
      <c r="E630" s="1687"/>
      <c r="F630" s="1164"/>
      <c r="G630" s="1314"/>
      <c r="H630" s="1315"/>
      <c r="I630" s="69"/>
      <c r="J630" s="69"/>
      <c r="K630" s="69"/>
      <c r="L630" s="69"/>
    </row>
    <row r="631" spans="1:12" ht="15.75" customHeight="1" thickTop="1" x14ac:dyDescent="0.2">
      <c r="A631" s="1661"/>
      <c r="B631" s="1662"/>
      <c r="C631" s="1662"/>
      <c r="D631" s="1663"/>
      <c r="E631" s="1316" t="s">
        <v>254</v>
      </c>
      <c r="F631" s="1165">
        <v>0</v>
      </c>
      <c r="G631" s="1165"/>
      <c r="H631" s="1165">
        <f t="shared" si="122"/>
        <v>0</v>
      </c>
      <c r="I631" s="69"/>
      <c r="J631" s="69"/>
      <c r="K631" s="69"/>
      <c r="L631" s="69"/>
    </row>
    <row r="632" spans="1:12" ht="15.75" customHeight="1" x14ac:dyDescent="0.2">
      <c r="A632" s="1661"/>
      <c r="B632" s="1662"/>
      <c r="C632" s="1662"/>
      <c r="D632" s="1663"/>
      <c r="E632" s="1317" t="s">
        <v>255</v>
      </c>
      <c r="F632" s="1166">
        <v>0</v>
      </c>
      <c r="G632" s="1166"/>
      <c r="H632" s="1166">
        <f t="shared" si="122"/>
        <v>0</v>
      </c>
      <c r="I632" s="69"/>
      <c r="J632" s="69"/>
      <c r="K632" s="69"/>
      <c r="L632" s="69"/>
    </row>
    <row r="633" spans="1:12" ht="15.75" customHeight="1" thickBot="1" x14ac:dyDescent="0.25">
      <c r="A633" s="1661"/>
      <c r="B633" s="1662"/>
      <c r="C633" s="1662"/>
      <c r="D633" s="1663"/>
      <c r="E633" s="1318" t="s">
        <v>256</v>
      </c>
      <c r="F633" s="1167">
        <v>0</v>
      </c>
      <c r="G633" s="1167"/>
      <c r="H633" s="1167">
        <f t="shared" si="122"/>
        <v>0</v>
      </c>
      <c r="I633" s="69"/>
      <c r="J633" s="69"/>
      <c r="K633" s="69"/>
      <c r="L633" s="69"/>
    </row>
    <row r="634" spans="1:12" s="69" customFormat="1" ht="17.25" customHeight="1" thickTop="1" thickBot="1" x14ac:dyDescent="0.25">
      <c r="A634" s="1685" t="s">
        <v>95</v>
      </c>
      <c r="B634" s="1686"/>
      <c r="C634" s="1686"/>
      <c r="D634" s="1686"/>
      <c r="E634" s="1687"/>
      <c r="F634" s="1164"/>
      <c r="G634" s="1314"/>
      <c r="H634" s="1315"/>
    </row>
    <row r="635" spans="1:12" s="69" customFormat="1" ht="17.25" customHeight="1" thickTop="1" x14ac:dyDescent="0.2">
      <c r="A635" s="1661"/>
      <c r="B635" s="1662"/>
      <c r="C635" s="1662"/>
      <c r="D635" s="1663"/>
      <c r="E635" s="1316" t="s">
        <v>254</v>
      </c>
      <c r="F635" s="1165">
        <v>0</v>
      </c>
      <c r="G635" s="1165"/>
      <c r="H635" s="1165">
        <f t="shared" si="122"/>
        <v>0</v>
      </c>
    </row>
    <row r="636" spans="1:12" s="69" customFormat="1" ht="17.25" customHeight="1" x14ac:dyDescent="0.2">
      <c r="A636" s="1661"/>
      <c r="B636" s="1662"/>
      <c r="C636" s="1662"/>
      <c r="D636" s="1663"/>
      <c r="E636" s="1317" t="s">
        <v>255</v>
      </c>
      <c r="F636" s="1166">
        <v>0</v>
      </c>
      <c r="G636" s="1166"/>
      <c r="H636" s="1166">
        <f t="shared" si="122"/>
        <v>0</v>
      </c>
    </row>
    <row r="637" spans="1:12" s="69" customFormat="1" ht="17.25" customHeight="1" thickBot="1" x14ac:dyDescent="0.25">
      <c r="A637" s="1661"/>
      <c r="B637" s="1662"/>
      <c r="C637" s="1662"/>
      <c r="D637" s="1663"/>
      <c r="E637" s="1318" t="s">
        <v>256</v>
      </c>
      <c r="F637" s="1167">
        <v>0</v>
      </c>
      <c r="G637" s="1167"/>
      <c r="H637" s="1167">
        <f t="shared" si="122"/>
        <v>0</v>
      </c>
    </row>
    <row r="638" spans="1:12" ht="17.25" customHeight="1" thickTop="1" thickBot="1" x14ac:dyDescent="0.25">
      <c r="A638" s="1685" t="s">
        <v>96</v>
      </c>
      <c r="B638" s="1686"/>
      <c r="C638" s="1686"/>
      <c r="D638" s="1686"/>
      <c r="E638" s="1687"/>
      <c r="F638" s="1164"/>
      <c r="G638" s="1314"/>
      <c r="H638" s="1315"/>
      <c r="I638" s="69"/>
      <c r="J638" s="69"/>
      <c r="K638" s="69"/>
      <c r="L638" s="69"/>
    </row>
    <row r="639" spans="1:12" ht="17.25" customHeight="1" thickTop="1" x14ac:dyDescent="0.2">
      <c r="A639" s="1661"/>
      <c r="B639" s="1662"/>
      <c r="C639" s="1662"/>
      <c r="D639" s="1663"/>
      <c r="E639" s="1316" t="s">
        <v>254</v>
      </c>
      <c r="F639" s="1165">
        <v>0</v>
      </c>
      <c r="G639" s="1165"/>
      <c r="H639" s="1165">
        <f t="shared" si="122"/>
        <v>0</v>
      </c>
      <c r="I639" s="69"/>
      <c r="J639" s="69"/>
      <c r="K639" s="69"/>
      <c r="L639" s="69"/>
    </row>
    <row r="640" spans="1:12" ht="17.25" customHeight="1" x14ac:dyDescent="0.2">
      <c r="A640" s="1661"/>
      <c r="B640" s="1662"/>
      <c r="C640" s="1662"/>
      <c r="D640" s="1663"/>
      <c r="E640" s="1317" t="s">
        <v>255</v>
      </c>
      <c r="F640" s="1166">
        <v>0</v>
      </c>
      <c r="G640" s="1166"/>
      <c r="H640" s="1166">
        <f t="shared" si="122"/>
        <v>0</v>
      </c>
      <c r="I640" s="69"/>
      <c r="J640" s="69"/>
      <c r="K640" s="69"/>
      <c r="L640" s="69"/>
    </row>
    <row r="641" spans="1:12" ht="17.25" customHeight="1" thickBot="1" x14ac:dyDescent="0.25">
      <c r="A641" s="1661"/>
      <c r="B641" s="1662"/>
      <c r="C641" s="1662"/>
      <c r="D641" s="1663"/>
      <c r="E641" s="1318" t="s">
        <v>256</v>
      </c>
      <c r="F641" s="1167">
        <v>0</v>
      </c>
      <c r="G641" s="1167"/>
      <c r="H641" s="1167">
        <f t="shared" si="122"/>
        <v>0</v>
      </c>
      <c r="I641" s="69"/>
      <c r="J641" s="69"/>
      <c r="K641" s="69"/>
      <c r="L641" s="69"/>
    </row>
    <row r="642" spans="1:12" ht="15" customHeight="1" thickTop="1" x14ac:dyDescent="0.2">
      <c r="A642" s="1700" t="s">
        <v>97</v>
      </c>
      <c r="B642" s="1701"/>
      <c r="C642" s="1701"/>
      <c r="D642" s="1701"/>
      <c r="E642" s="1701"/>
      <c r="F642" s="832"/>
      <c r="G642" s="832"/>
      <c r="H642" s="833"/>
      <c r="I642" s="69"/>
      <c r="J642" s="69"/>
      <c r="K642" s="69"/>
      <c r="L642" s="69"/>
    </row>
    <row r="643" spans="1:12" ht="15" customHeight="1" x14ac:dyDescent="0.2">
      <c r="A643" s="1691"/>
      <c r="B643" s="1692"/>
      <c r="C643" s="1692"/>
      <c r="D643" s="1693"/>
      <c r="E643" s="312" t="s">
        <v>254</v>
      </c>
      <c r="F643" s="327">
        <f>F647+F651+F655+F659+F663+F667+F671</f>
        <v>45029390</v>
      </c>
      <c r="G643" s="327"/>
      <c r="H643" s="834">
        <f>SUM(F643:G643)</f>
        <v>45029390</v>
      </c>
      <c r="I643" s="69"/>
      <c r="J643" s="69"/>
      <c r="K643" s="69"/>
      <c r="L643" s="69"/>
    </row>
    <row r="644" spans="1:12" ht="15" customHeight="1" x14ac:dyDescent="0.2">
      <c r="A644" s="1694"/>
      <c r="B644" s="1695"/>
      <c r="C644" s="1695"/>
      <c r="D644" s="1696"/>
      <c r="E644" s="312" t="s">
        <v>255</v>
      </c>
      <c r="F644" s="327">
        <f t="shared" ref="F644:F645" si="123">F648+F652+F656+F660+F664+F668+F672</f>
        <v>45842490</v>
      </c>
      <c r="G644" s="327"/>
      <c r="H644" s="834">
        <f t="shared" si="122"/>
        <v>45842490</v>
      </c>
      <c r="I644" s="69"/>
      <c r="J644" s="69"/>
      <c r="K644" s="69"/>
      <c r="L644" s="69"/>
    </row>
    <row r="645" spans="1:12" ht="15" customHeight="1" thickBot="1" x14ac:dyDescent="0.25">
      <c r="A645" s="1697"/>
      <c r="B645" s="1698"/>
      <c r="C645" s="1698"/>
      <c r="D645" s="1699"/>
      <c r="E645" s="835" t="s">
        <v>256</v>
      </c>
      <c r="F645" s="836">
        <f t="shared" si="123"/>
        <v>36552791</v>
      </c>
      <c r="G645" s="836"/>
      <c r="H645" s="837">
        <f t="shared" si="122"/>
        <v>36552791</v>
      </c>
      <c r="I645" s="69"/>
      <c r="J645" s="69"/>
      <c r="K645" s="69"/>
      <c r="L645" s="69"/>
    </row>
    <row r="646" spans="1:12" ht="14.25" customHeight="1" thickTop="1" x14ac:dyDescent="0.2">
      <c r="A646" s="1578">
        <v>2</v>
      </c>
      <c r="B646" s="1579"/>
      <c r="C646" s="1583" t="s">
        <v>153</v>
      </c>
      <c r="D646" s="1583" t="s">
        <v>54</v>
      </c>
      <c r="E646" s="838" t="s">
        <v>98</v>
      </c>
      <c r="F646" s="844"/>
      <c r="G646" s="839"/>
      <c r="H646" s="840"/>
      <c r="I646" s="69"/>
      <c r="J646" s="69"/>
      <c r="K646" s="69"/>
      <c r="L646" s="69"/>
    </row>
    <row r="647" spans="1:12" ht="14.25" customHeight="1" x14ac:dyDescent="0.2">
      <c r="A647" s="1578"/>
      <c r="B647" s="1579"/>
      <c r="C647" s="1583"/>
      <c r="D647" s="1583"/>
      <c r="E647" s="1027" t="s">
        <v>254</v>
      </c>
      <c r="F647" s="329">
        <v>1819000</v>
      </c>
      <c r="G647" s="329"/>
      <c r="H647" s="115">
        <f t="shared" si="122"/>
        <v>1819000</v>
      </c>
      <c r="I647" s="69"/>
      <c r="J647" s="69"/>
      <c r="K647" s="69"/>
      <c r="L647" s="69"/>
    </row>
    <row r="648" spans="1:12" ht="14.25" customHeight="1" x14ac:dyDescent="0.2">
      <c r="A648" s="1578"/>
      <c r="B648" s="1579"/>
      <c r="C648" s="1583"/>
      <c r="D648" s="1583"/>
      <c r="E648" s="1027" t="s">
        <v>255</v>
      </c>
      <c r="F648" s="329">
        <v>1819000</v>
      </c>
      <c r="G648" s="329"/>
      <c r="H648" s="115">
        <f t="shared" si="122"/>
        <v>1819000</v>
      </c>
      <c r="I648" s="69"/>
      <c r="J648" s="69"/>
      <c r="K648" s="69"/>
      <c r="L648" s="69"/>
    </row>
    <row r="649" spans="1:12" s="801" customFormat="1" ht="14.25" customHeight="1" x14ac:dyDescent="0.2">
      <c r="A649" s="1580"/>
      <c r="B649" s="1581"/>
      <c r="C649" s="1584"/>
      <c r="D649" s="1584"/>
      <c r="E649" s="1027" t="s">
        <v>256</v>
      </c>
      <c r="F649" s="329">
        <v>1516000</v>
      </c>
      <c r="G649" s="329"/>
      <c r="H649" s="115">
        <f t="shared" si="122"/>
        <v>1516000</v>
      </c>
      <c r="I649" s="800"/>
      <c r="J649" s="800"/>
      <c r="K649" s="800"/>
      <c r="L649" s="800"/>
    </row>
    <row r="650" spans="1:12" ht="14.25" customHeight="1" x14ac:dyDescent="0.2">
      <c r="A650" s="1576">
        <v>3</v>
      </c>
      <c r="B650" s="1577"/>
      <c r="C650" s="1582" t="s">
        <v>153</v>
      </c>
      <c r="D650" s="1582" t="s">
        <v>54</v>
      </c>
      <c r="E650" s="831" t="s">
        <v>48</v>
      </c>
      <c r="F650" s="8"/>
      <c r="G650" s="329"/>
      <c r="H650" s="115">
        <f t="shared" si="122"/>
        <v>0</v>
      </c>
      <c r="I650" s="69"/>
      <c r="J650" s="69"/>
      <c r="K650" s="69"/>
      <c r="L650" s="69"/>
    </row>
    <row r="651" spans="1:12" ht="14.25" customHeight="1" x14ac:dyDescent="0.2">
      <c r="A651" s="1578"/>
      <c r="B651" s="1579"/>
      <c r="C651" s="1583"/>
      <c r="D651" s="1583"/>
      <c r="E651" s="1027" t="s">
        <v>254</v>
      </c>
      <c r="F651" s="329">
        <v>38310390</v>
      </c>
      <c r="G651" s="329"/>
      <c r="H651" s="115">
        <f t="shared" si="122"/>
        <v>38310390</v>
      </c>
      <c r="I651" s="69"/>
      <c r="J651" s="69"/>
      <c r="K651" s="69"/>
      <c r="L651" s="69"/>
    </row>
    <row r="652" spans="1:12" ht="14.25" customHeight="1" x14ac:dyDescent="0.2">
      <c r="A652" s="1578"/>
      <c r="B652" s="1579"/>
      <c r="C652" s="1583"/>
      <c r="D652" s="1583"/>
      <c r="E652" s="1027" t="s">
        <v>255</v>
      </c>
      <c r="F652" s="329">
        <v>35204694</v>
      </c>
      <c r="G652" s="329"/>
      <c r="H652" s="115">
        <f>SUM(F652:G652)</f>
        <v>35204694</v>
      </c>
      <c r="I652" s="73"/>
      <c r="J652" s="69"/>
      <c r="K652" s="69"/>
      <c r="L652" s="69"/>
    </row>
    <row r="653" spans="1:12" ht="14.25" customHeight="1" x14ac:dyDescent="0.2">
      <c r="A653" s="1580"/>
      <c r="B653" s="1581"/>
      <c r="C653" s="1584"/>
      <c r="D653" s="1584"/>
      <c r="E653" s="1027" t="s">
        <v>256</v>
      </c>
      <c r="F653" s="329">
        <v>27942427</v>
      </c>
      <c r="G653" s="329"/>
      <c r="H653" s="115">
        <f t="shared" si="122"/>
        <v>27942427</v>
      </c>
      <c r="I653" s="69"/>
      <c r="J653" s="69"/>
      <c r="K653" s="69"/>
      <c r="L653" s="69"/>
    </row>
    <row r="654" spans="1:12" ht="14.25" customHeight="1" x14ac:dyDescent="0.2">
      <c r="A654" s="1576">
        <v>4</v>
      </c>
      <c r="B654" s="1577"/>
      <c r="C654" s="1582" t="s">
        <v>153</v>
      </c>
      <c r="D654" s="1582" t="s">
        <v>54</v>
      </c>
      <c r="E654" s="831" t="s">
        <v>187</v>
      </c>
      <c r="F654" s="329"/>
      <c r="G654" s="329"/>
      <c r="H654" s="115">
        <f t="shared" si="122"/>
        <v>0</v>
      </c>
      <c r="I654" s="73"/>
      <c r="J654" s="69"/>
      <c r="K654" s="69"/>
      <c r="L654" s="69"/>
    </row>
    <row r="655" spans="1:12" ht="14.25" customHeight="1" x14ac:dyDescent="0.2">
      <c r="A655" s="1578"/>
      <c r="B655" s="1579"/>
      <c r="C655" s="1583"/>
      <c r="D655" s="1583"/>
      <c r="E655" s="1027" t="s">
        <v>254</v>
      </c>
      <c r="F655" s="329">
        <v>4400000</v>
      </c>
      <c r="G655" s="329"/>
      <c r="H655" s="115">
        <f t="shared" si="122"/>
        <v>4400000</v>
      </c>
      <c r="I655" s="73"/>
      <c r="J655" s="69"/>
      <c r="K655" s="69"/>
      <c r="L655" s="69"/>
    </row>
    <row r="656" spans="1:12" ht="14.25" customHeight="1" x14ac:dyDescent="0.2">
      <c r="A656" s="1578"/>
      <c r="B656" s="1579"/>
      <c r="C656" s="1583"/>
      <c r="D656" s="1583"/>
      <c r="E656" s="1027" t="s">
        <v>255</v>
      </c>
      <c r="F656" s="329">
        <v>4400000</v>
      </c>
      <c r="G656" s="329"/>
      <c r="H656" s="115">
        <f t="shared" si="122"/>
        <v>4400000</v>
      </c>
      <c r="I656" s="73"/>
      <c r="J656" s="69"/>
      <c r="K656" s="69"/>
      <c r="L656" s="69"/>
    </row>
    <row r="657" spans="1:12" s="801" customFormat="1" ht="14.25" customHeight="1" x14ac:dyDescent="0.2">
      <c r="A657" s="1580"/>
      <c r="B657" s="1581"/>
      <c r="C657" s="1584"/>
      <c r="D657" s="1584"/>
      <c r="E657" s="1027" t="s">
        <v>256</v>
      </c>
      <c r="F657" s="329">
        <v>4794500</v>
      </c>
      <c r="G657" s="329"/>
      <c r="H657" s="115">
        <f t="shared" si="122"/>
        <v>4794500</v>
      </c>
      <c r="I657" s="800"/>
      <c r="J657" s="800"/>
      <c r="K657" s="800"/>
      <c r="L657" s="800"/>
    </row>
    <row r="658" spans="1:12" ht="14.25" customHeight="1" x14ac:dyDescent="0.2">
      <c r="A658" s="1576">
        <v>5</v>
      </c>
      <c r="B658" s="1577"/>
      <c r="C658" s="1582" t="s">
        <v>153</v>
      </c>
      <c r="D658" s="1582" t="s">
        <v>54</v>
      </c>
      <c r="E658" s="841" t="s">
        <v>638</v>
      </c>
      <c r="F658" s="329"/>
      <c r="G658" s="329"/>
      <c r="H658" s="115">
        <f t="shared" si="122"/>
        <v>0</v>
      </c>
      <c r="I658" s="73"/>
      <c r="J658" s="69"/>
      <c r="K658" s="69"/>
      <c r="L658" s="69"/>
    </row>
    <row r="659" spans="1:12" ht="14.25" customHeight="1" x14ac:dyDescent="0.2">
      <c r="A659" s="1578"/>
      <c r="B659" s="1579"/>
      <c r="C659" s="1583"/>
      <c r="D659" s="1583"/>
      <c r="E659" s="1027" t="s">
        <v>254</v>
      </c>
      <c r="F659" s="329">
        <v>500000</v>
      </c>
      <c r="G659" s="329"/>
      <c r="H659" s="115">
        <f t="shared" si="122"/>
        <v>500000</v>
      </c>
      <c r="I659" s="73"/>
      <c r="J659" s="69"/>
      <c r="K659" s="69"/>
      <c r="L659" s="69"/>
    </row>
    <row r="660" spans="1:12" ht="14.25" customHeight="1" x14ac:dyDescent="0.2">
      <c r="A660" s="1578"/>
      <c r="B660" s="1579"/>
      <c r="C660" s="1583"/>
      <c r="D660" s="1583"/>
      <c r="E660" s="1027" t="s">
        <v>255</v>
      </c>
      <c r="F660" s="329">
        <v>1798339</v>
      </c>
      <c r="G660" s="329"/>
      <c r="H660" s="115">
        <f t="shared" si="122"/>
        <v>1798339</v>
      </c>
      <c r="I660" s="73"/>
      <c r="J660" s="69"/>
      <c r="K660" s="69"/>
      <c r="L660" s="69"/>
    </row>
    <row r="661" spans="1:12" s="801" customFormat="1" ht="14.25" customHeight="1" x14ac:dyDescent="0.2">
      <c r="A661" s="1580"/>
      <c r="B661" s="1581"/>
      <c r="C661" s="1584"/>
      <c r="D661" s="1584"/>
      <c r="E661" s="1027" t="s">
        <v>256</v>
      </c>
      <c r="F661" s="329">
        <v>581449</v>
      </c>
      <c r="G661" s="329"/>
      <c r="H661" s="115">
        <f t="shared" si="122"/>
        <v>581449</v>
      </c>
      <c r="I661" s="800"/>
      <c r="J661" s="800"/>
      <c r="K661" s="800"/>
      <c r="L661" s="800"/>
    </row>
    <row r="662" spans="1:12" ht="12" customHeight="1" x14ac:dyDescent="0.2">
      <c r="A662" s="1576">
        <v>6</v>
      </c>
      <c r="B662" s="1577"/>
      <c r="C662" s="1582" t="s">
        <v>153</v>
      </c>
      <c r="D662" s="1582" t="s">
        <v>55</v>
      </c>
      <c r="E662" s="842" t="s">
        <v>202</v>
      </c>
      <c r="F662" s="8"/>
      <c r="G662" s="329"/>
      <c r="H662" s="115"/>
      <c r="I662" s="69"/>
      <c r="J662" s="69"/>
      <c r="K662" s="69"/>
      <c r="L662" s="69"/>
    </row>
    <row r="663" spans="1:12" ht="12" customHeight="1" x14ac:dyDescent="0.2">
      <c r="A663" s="1578"/>
      <c r="B663" s="1579"/>
      <c r="C663" s="1583"/>
      <c r="D663" s="1583"/>
      <c r="E663" s="1027" t="s">
        <v>254</v>
      </c>
      <c r="F663" s="329">
        <v>0</v>
      </c>
      <c r="G663" s="329"/>
      <c r="H663" s="115">
        <f t="shared" si="122"/>
        <v>0</v>
      </c>
      <c r="I663" s="69"/>
      <c r="J663" s="69"/>
      <c r="K663" s="69"/>
      <c r="L663" s="69"/>
    </row>
    <row r="664" spans="1:12" ht="12" customHeight="1" x14ac:dyDescent="0.2">
      <c r="A664" s="1578"/>
      <c r="B664" s="1579"/>
      <c r="C664" s="1583"/>
      <c r="D664" s="1583"/>
      <c r="E664" s="1027" t="s">
        <v>255</v>
      </c>
      <c r="F664" s="329">
        <v>618415</v>
      </c>
      <c r="G664" s="329"/>
      <c r="H664" s="115">
        <f t="shared" ref="H664:H665" si="124">SUM(F664:G664)</f>
        <v>618415</v>
      </c>
      <c r="I664" s="69"/>
      <c r="J664" s="69"/>
      <c r="K664" s="69"/>
      <c r="L664" s="69"/>
    </row>
    <row r="665" spans="1:12" ht="12" customHeight="1" x14ac:dyDescent="0.2">
      <c r="A665" s="1580"/>
      <c r="B665" s="1581"/>
      <c r="C665" s="1584"/>
      <c r="D665" s="1584"/>
      <c r="E665" s="1027" t="s">
        <v>256</v>
      </c>
      <c r="F665" s="329">
        <v>618415</v>
      </c>
      <c r="G665" s="329"/>
      <c r="H665" s="115">
        <f t="shared" si="124"/>
        <v>618415</v>
      </c>
      <c r="I665" s="69"/>
      <c r="J665" s="69"/>
      <c r="K665" s="69"/>
      <c r="L665" s="69"/>
    </row>
    <row r="666" spans="1:12" ht="12" customHeight="1" x14ac:dyDescent="0.2">
      <c r="A666" s="1576">
        <v>7</v>
      </c>
      <c r="B666" s="1577"/>
      <c r="C666" s="1582" t="s">
        <v>153</v>
      </c>
      <c r="D666" s="1582" t="s">
        <v>55</v>
      </c>
      <c r="E666" s="843" t="s">
        <v>626</v>
      </c>
      <c r="F666" s="329"/>
      <c r="G666" s="329"/>
      <c r="H666" s="115"/>
      <c r="I666" s="69"/>
      <c r="J666" s="69"/>
      <c r="K666" s="69"/>
      <c r="L666" s="69"/>
    </row>
    <row r="667" spans="1:12" ht="12" customHeight="1" x14ac:dyDescent="0.2">
      <c r="A667" s="1578"/>
      <c r="B667" s="1579"/>
      <c r="C667" s="1583"/>
      <c r="D667" s="1583"/>
      <c r="E667" s="1027" t="s">
        <v>254</v>
      </c>
      <c r="F667" s="329">
        <v>0</v>
      </c>
      <c r="G667" s="329"/>
      <c r="H667" s="115">
        <f>F667+G667</f>
        <v>0</v>
      </c>
      <c r="I667" s="69"/>
      <c r="J667" s="69"/>
      <c r="K667" s="69"/>
      <c r="L667" s="69"/>
    </row>
    <row r="668" spans="1:12" ht="12" customHeight="1" x14ac:dyDescent="0.2">
      <c r="A668" s="1578"/>
      <c r="B668" s="1579"/>
      <c r="C668" s="1583"/>
      <c r="D668" s="1583"/>
      <c r="E668" s="1027" t="s">
        <v>255</v>
      </c>
      <c r="F668" s="329">
        <v>902042</v>
      </c>
      <c r="G668" s="329"/>
      <c r="H668" s="115">
        <f t="shared" ref="H668:H669" si="125">F668+G668</f>
        <v>902042</v>
      </c>
      <c r="I668" s="69"/>
      <c r="J668" s="69"/>
      <c r="K668" s="69"/>
      <c r="L668" s="69"/>
    </row>
    <row r="669" spans="1:12" ht="12" customHeight="1" x14ac:dyDescent="0.2">
      <c r="A669" s="1580"/>
      <c r="B669" s="1581"/>
      <c r="C669" s="1584"/>
      <c r="D669" s="1584"/>
      <c r="E669" s="1027" t="s">
        <v>256</v>
      </c>
      <c r="F669" s="329">
        <v>0</v>
      </c>
      <c r="G669" s="329"/>
      <c r="H669" s="115">
        <f t="shared" si="125"/>
        <v>0</v>
      </c>
      <c r="I669" s="69"/>
      <c r="J669" s="69"/>
      <c r="K669" s="69"/>
      <c r="L669" s="69"/>
    </row>
    <row r="670" spans="1:12" ht="12" customHeight="1" x14ac:dyDescent="0.2">
      <c r="A670" s="1576">
        <v>8</v>
      </c>
      <c r="B670" s="1577"/>
      <c r="C670" s="1582" t="s">
        <v>153</v>
      </c>
      <c r="D670" s="1582" t="s">
        <v>54</v>
      </c>
      <c r="E670" s="843" t="s">
        <v>627</v>
      </c>
      <c r="F670" s="329"/>
      <c r="G670" s="329"/>
      <c r="H670" s="115"/>
      <c r="I670" s="69"/>
      <c r="J670" s="69"/>
      <c r="K670" s="69"/>
      <c r="L670" s="69"/>
    </row>
    <row r="671" spans="1:12" ht="12" customHeight="1" x14ac:dyDescent="0.2">
      <c r="A671" s="1578"/>
      <c r="B671" s="1579"/>
      <c r="C671" s="1583"/>
      <c r="D671" s="1583"/>
      <c r="E671" s="1027" t="s">
        <v>254</v>
      </c>
      <c r="F671" s="329">
        <v>0</v>
      </c>
      <c r="G671" s="329"/>
      <c r="H671" s="115">
        <f>F671+G671</f>
        <v>0</v>
      </c>
      <c r="I671" s="69"/>
      <c r="J671" s="69"/>
      <c r="K671" s="69"/>
      <c r="L671" s="69"/>
    </row>
    <row r="672" spans="1:12" ht="12" customHeight="1" x14ac:dyDescent="0.2">
      <c r="A672" s="1578"/>
      <c r="B672" s="1579"/>
      <c r="C672" s="1583"/>
      <c r="D672" s="1583"/>
      <c r="E672" s="1027" t="s">
        <v>255</v>
      </c>
      <c r="F672" s="329">
        <v>1100000</v>
      </c>
      <c r="G672" s="329"/>
      <c r="H672" s="115">
        <f t="shared" ref="H672:H673" si="126">F672+G672</f>
        <v>1100000</v>
      </c>
      <c r="I672" s="69"/>
      <c r="J672" s="69"/>
      <c r="K672" s="69"/>
      <c r="L672" s="69"/>
    </row>
    <row r="673" spans="1:12" ht="12" customHeight="1" x14ac:dyDescent="0.2">
      <c r="A673" s="1580"/>
      <c r="B673" s="1581"/>
      <c r="C673" s="1584"/>
      <c r="D673" s="1584"/>
      <c r="E673" s="1027" t="s">
        <v>256</v>
      </c>
      <c r="F673" s="329">
        <v>1100000</v>
      </c>
      <c r="G673" s="329"/>
      <c r="H673" s="115">
        <f t="shared" si="126"/>
        <v>1100000</v>
      </c>
      <c r="I673" s="69"/>
      <c r="J673" s="69"/>
      <c r="K673" s="69"/>
      <c r="L673" s="69"/>
    </row>
    <row r="674" spans="1:12" ht="16.5" customHeight="1" x14ac:dyDescent="0.2">
      <c r="A674" s="1688" t="s">
        <v>144</v>
      </c>
      <c r="B674" s="1688"/>
      <c r="C674" s="1688"/>
      <c r="D674" s="1688"/>
      <c r="E674" s="1688"/>
      <c r="F674" s="354"/>
      <c r="G674" s="354"/>
      <c r="H674" s="354"/>
      <c r="I674" s="69"/>
      <c r="J674" s="69"/>
      <c r="K674" s="69"/>
      <c r="L674" s="69"/>
    </row>
    <row r="675" spans="1:12" ht="16.5" customHeight="1" x14ac:dyDescent="0.2">
      <c r="A675" s="1655"/>
      <c r="B675" s="1656"/>
      <c r="C675" s="1656"/>
      <c r="D675" s="1657"/>
      <c r="E675" s="357" t="s">
        <v>254</v>
      </c>
      <c r="F675" s="354">
        <f t="shared" ref="F675:G677" si="127">F679+F687</f>
        <v>0</v>
      </c>
      <c r="G675" s="354">
        <f t="shared" si="127"/>
        <v>215510318</v>
      </c>
      <c r="H675" s="354">
        <f>SUM(F675:G675)</f>
        <v>215510318</v>
      </c>
      <c r="I675" s="69"/>
      <c r="J675" s="69"/>
      <c r="K675" s="69"/>
      <c r="L675" s="69"/>
    </row>
    <row r="676" spans="1:12" ht="16.5" customHeight="1" x14ac:dyDescent="0.2">
      <c r="A676" s="1658"/>
      <c r="B676" s="1659"/>
      <c r="C676" s="1659"/>
      <c r="D676" s="1660"/>
      <c r="E676" s="357" t="s">
        <v>255</v>
      </c>
      <c r="F676" s="354">
        <f t="shared" si="127"/>
        <v>0</v>
      </c>
      <c r="G676" s="354">
        <f t="shared" si="127"/>
        <v>257714297</v>
      </c>
      <c r="H676" s="354">
        <f t="shared" ref="H676:H677" si="128">SUM(F676:G676)</f>
        <v>257714297</v>
      </c>
      <c r="I676" s="69"/>
      <c r="J676" s="69"/>
      <c r="K676" s="69"/>
      <c r="L676" s="69"/>
    </row>
    <row r="677" spans="1:12" ht="16.5" customHeight="1" x14ac:dyDescent="0.2">
      <c r="A677" s="1760"/>
      <c r="B677" s="1761"/>
      <c r="C677" s="1761"/>
      <c r="D677" s="1762"/>
      <c r="E677" s="357" t="s">
        <v>256</v>
      </c>
      <c r="F677" s="354">
        <f t="shared" si="127"/>
        <v>0</v>
      </c>
      <c r="G677" s="354">
        <f t="shared" si="127"/>
        <v>230421516</v>
      </c>
      <c r="H677" s="354">
        <f t="shared" si="128"/>
        <v>230421516</v>
      </c>
      <c r="I677" s="69"/>
      <c r="J677" s="69"/>
      <c r="K677" s="69"/>
      <c r="L677" s="69"/>
    </row>
    <row r="678" spans="1:12" s="801" customFormat="1" ht="16.5" customHeight="1" x14ac:dyDescent="0.2">
      <c r="A678" s="1766" t="s">
        <v>249</v>
      </c>
      <c r="B678" s="1766"/>
      <c r="C678" s="1766"/>
      <c r="D678" s="1766"/>
      <c r="E678" s="1766"/>
      <c r="F678" s="117"/>
      <c r="G678" s="117"/>
      <c r="H678" s="117"/>
      <c r="I678" s="800"/>
      <c r="J678" s="800"/>
      <c r="K678" s="800"/>
      <c r="L678" s="800"/>
    </row>
    <row r="679" spans="1:12" s="801" customFormat="1" ht="16.5" customHeight="1" x14ac:dyDescent="0.2">
      <c r="A679" s="1751"/>
      <c r="B679" s="1752"/>
      <c r="C679" s="1752"/>
      <c r="D679" s="1753"/>
      <c r="E679" s="202" t="s">
        <v>254</v>
      </c>
      <c r="F679" s="117">
        <f>F683</f>
        <v>0</v>
      </c>
      <c r="G679" s="117">
        <f>G683</f>
        <v>0</v>
      </c>
      <c r="H679" s="117">
        <f>SUM(F679:G679)</f>
        <v>0</v>
      </c>
      <c r="I679" s="800"/>
      <c r="J679" s="800"/>
      <c r="K679" s="800"/>
      <c r="L679" s="800"/>
    </row>
    <row r="680" spans="1:12" s="801" customFormat="1" ht="16.5" customHeight="1" x14ac:dyDescent="0.2">
      <c r="A680" s="1754"/>
      <c r="B680" s="1755"/>
      <c r="C680" s="1755"/>
      <c r="D680" s="1756"/>
      <c r="E680" s="202" t="s">
        <v>255</v>
      </c>
      <c r="F680" s="117">
        <f t="shared" ref="F680:G681" si="129">F684</f>
        <v>0</v>
      </c>
      <c r="G680" s="117">
        <f t="shared" si="129"/>
        <v>15000000</v>
      </c>
      <c r="H680" s="117">
        <f t="shared" ref="H680:H681" si="130">SUM(F680:G680)</f>
        <v>15000000</v>
      </c>
      <c r="I680" s="800"/>
      <c r="J680" s="800"/>
      <c r="K680" s="800"/>
      <c r="L680" s="800"/>
    </row>
    <row r="681" spans="1:12" s="801" customFormat="1" ht="16.5" customHeight="1" x14ac:dyDescent="0.2">
      <c r="A681" s="1757"/>
      <c r="B681" s="1758"/>
      <c r="C681" s="1758"/>
      <c r="D681" s="1759"/>
      <c r="E681" s="202" t="s">
        <v>256</v>
      </c>
      <c r="F681" s="117">
        <f t="shared" si="129"/>
        <v>0</v>
      </c>
      <c r="G681" s="117">
        <f t="shared" si="129"/>
        <v>15000000</v>
      </c>
      <c r="H681" s="117">
        <f t="shared" si="130"/>
        <v>15000000</v>
      </c>
      <c r="I681" s="800"/>
      <c r="J681" s="800"/>
      <c r="K681" s="800"/>
      <c r="L681" s="800"/>
    </row>
    <row r="682" spans="1:12" s="801" customFormat="1" ht="16.5" customHeight="1" x14ac:dyDescent="0.2">
      <c r="A682" s="1566">
        <v>1</v>
      </c>
      <c r="B682" s="1567"/>
      <c r="C682" s="1763" t="s">
        <v>246</v>
      </c>
      <c r="D682" s="1763" t="s">
        <v>54</v>
      </c>
      <c r="E682" s="1319" t="s">
        <v>628</v>
      </c>
      <c r="F682" s="115"/>
      <c r="G682" s="329"/>
      <c r="H682" s="329"/>
      <c r="I682" s="800"/>
      <c r="J682" s="800"/>
      <c r="K682" s="800"/>
      <c r="L682" s="800"/>
    </row>
    <row r="683" spans="1:12" s="801" customFormat="1" ht="16.5" customHeight="1" x14ac:dyDescent="0.2">
      <c r="A683" s="1568"/>
      <c r="B683" s="1569"/>
      <c r="C683" s="1764"/>
      <c r="D683" s="1764"/>
      <c r="E683" s="1027" t="s">
        <v>254</v>
      </c>
      <c r="F683" s="115"/>
      <c r="G683" s="329">
        <v>0</v>
      </c>
      <c r="H683" s="329">
        <f>SUM(G683)</f>
        <v>0</v>
      </c>
      <c r="I683" s="800"/>
      <c r="J683" s="800"/>
      <c r="K683" s="800"/>
      <c r="L683" s="800"/>
    </row>
    <row r="684" spans="1:12" s="801" customFormat="1" ht="16.5" customHeight="1" x14ac:dyDescent="0.2">
      <c r="A684" s="1568"/>
      <c r="B684" s="1569"/>
      <c r="C684" s="1764"/>
      <c r="D684" s="1764"/>
      <c r="E684" s="1027" t="s">
        <v>255</v>
      </c>
      <c r="F684" s="115"/>
      <c r="G684" s="329">
        <v>15000000</v>
      </c>
      <c r="H684" s="329">
        <f t="shared" ref="H684:H685" si="131">SUM(G684)</f>
        <v>15000000</v>
      </c>
      <c r="I684" s="800"/>
      <c r="J684" s="800"/>
      <c r="K684" s="800"/>
      <c r="L684" s="800"/>
    </row>
    <row r="685" spans="1:12" s="801" customFormat="1" ht="16.5" customHeight="1" x14ac:dyDescent="0.2">
      <c r="A685" s="1570"/>
      <c r="B685" s="1571"/>
      <c r="C685" s="1765"/>
      <c r="D685" s="1765"/>
      <c r="E685" s="1027" t="s">
        <v>256</v>
      </c>
      <c r="F685" s="115"/>
      <c r="G685" s="329">
        <v>15000000</v>
      </c>
      <c r="H685" s="329">
        <f t="shared" si="131"/>
        <v>15000000</v>
      </c>
      <c r="I685" s="800"/>
      <c r="J685" s="800"/>
      <c r="K685" s="800"/>
      <c r="L685" s="800"/>
    </row>
    <row r="686" spans="1:12" ht="16.5" customHeight="1" x14ac:dyDescent="0.2">
      <c r="A686" s="1748" t="s">
        <v>248</v>
      </c>
      <c r="B686" s="1749"/>
      <c r="C686" s="1749"/>
      <c r="D686" s="1749"/>
      <c r="E686" s="1750"/>
      <c r="F686" s="117"/>
      <c r="G686" s="117"/>
      <c r="H686" s="117"/>
      <c r="I686" s="69"/>
      <c r="J686" s="69"/>
      <c r="K686" s="69"/>
      <c r="L686" s="69"/>
    </row>
    <row r="687" spans="1:12" ht="16.5" customHeight="1" x14ac:dyDescent="0.2">
      <c r="A687" s="1751"/>
      <c r="B687" s="1752"/>
      <c r="C687" s="1752"/>
      <c r="D687" s="1753"/>
      <c r="E687" s="202" t="s">
        <v>254</v>
      </c>
      <c r="F687" s="117">
        <f>F691+F695+F703</f>
        <v>0</v>
      </c>
      <c r="G687" s="117">
        <f>G691+G695+G703+G699</f>
        <v>215510318</v>
      </c>
      <c r="H687" s="117">
        <f t="shared" ref="H687:H689" si="132">F687+G687</f>
        <v>215510318</v>
      </c>
      <c r="I687" s="69"/>
      <c r="J687" s="69"/>
      <c r="K687" s="69"/>
      <c r="L687" s="69"/>
    </row>
    <row r="688" spans="1:12" ht="16.5" customHeight="1" x14ac:dyDescent="0.2">
      <c r="A688" s="1754"/>
      <c r="B688" s="1755"/>
      <c r="C688" s="1755"/>
      <c r="D688" s="1756"/>
      <c r="E688" s="202" t="s">
        <v>255</v>
      </c>
      <c r="F688" s="117">
        <f>F692+F696+F704</f>
        <v>0</v>
      </c>
      <c r="G688" s="117">
        <f>G692+G696+G704+G700</f>
        <v>242714297</v>
      </c>
      <c r="H688" s="117">
        <f t="shared" si="132"/>
        <v>242714297</v>
      </c>
      <c r="I688" s="69"/>
      <c r="J688" s="69"/>
      <c r="K688" s="69"/>
      <c r="L688" s="69"/>
    </row>
    <row r="689" spans="1:12" ht="16.5" customHeight="1" x14ac:dyDescent="0.2">
      <c r="A689" s="1757"/>
      <c r="B689" s="1758"/>
      <c r="C689" s="1758"/>
      <c r="D689" s="1759"/>
      <c r="E689" s="202" t="s">
        <v>256</v>
      </c>
      <c r="F689" s="117">
        <f>F693+F697+F705</f>
        <v>0</v>
      </c>
      <c r="G689" s="117">
        <f>G693+G697+G705+G701</f>
        <v>215421516</v>
      </c>
      <c r="H689" s="117">
        <f t="shared" si="132"/>
        <v>215421516</v>
      </c>
      <c r="I689" s="69"/>
      <c r="J689" s="69"/>
      <c r="K689" s="69"/>
      <c r="L689" s="69"/>
    </row>
    <row r="690" spans="1:12" ht="17.25" customHeight="1" x14ac:dyDescent="0.2">
      <c r="A690" s="1557">
        <v>1</v>
      </c>
      <c r="B690" s="1558"/>
      <c r="C690" s="1563" t="s">
        <v>154</v>
      </c>
      <c r="D690" s="1563" t="s">
        <v>54</v>
      </c>
      <c r="E690" s="841" t="s">
        <v>639</v>
      </c>
      <c r="F690" s="115"/>
      <c r="G690" s="329"/>
      <c r="H690" s="329"/>
      <c r="I690" s="69"/>
      <c r="J690" s="69"/>
      <c r="K690" s="69"/>
      <c r="L690" s="69"/>
    </row>
    <row r="691" spans="1:12" ht="17.25" customHeight="1" x14ac:dyDescent="0.2">
      <c r="A691" s="1559"/>
      <c r="B691" s="1560"/>
      <c r="C691" s="1564"/>
      <c r="D691" s="1564"/>
      <c r="E691" s="1027" t="s">
        <v>254</v>
      </c>
      <c r="F691" s="115"/>
      <c r="G691" s="329">
        <v>75000000</v>
      </c>
      <c r="H691" s="329">
        <f>SUM(F691:G691)</f>
        <v>75000000</v>
      </c>
      <c r="I691" s="69"/>
      <c r="J691" s="69"/>
      <c r="K691" s="69"/>
      <c r="L691" s="69"/>
    </row>
    <row r="692" spans="1:12" ht="17.25" customHeight="1" x14ac:dyDescent="0.2">
      <c r="A692" s="1559"/>
      <c r="B692" s="1560"/>
      <c r="C692" s="1564"/>
      <c r="D692" s="1564"/>
      <c r="E692" s="1027" t="s">
        <v>255</v>
      </c>
      <c r="F692" s="115"/>
      <c r="G692" s="329">
        <v>75000000</v>
      </c>
      <c r="H692" s="329">
        <f t="shared" ref="H692:H706" si="133">SUM(F692:G692)</f>
        <v>75000000</v>
      </c>
      <c r="I692" s="69"/>
      <c r="J692" s="69"/>
      <c r="K692" s="69"/>
      <c r="L692" s="69"/>
    </row>
    <row r="693" spans="1:12" ht="17.25" customHeight="1" x14ac:dyDescent="0.2">
      <c r="A693" s="1561"/>
      <c r="B693" s="1562"/>
      <c r="C693" s="1565"/>
      <c r="D693" s="1565"/>
      <c r="E693" s="1027" t="s">
        <v>256</v>
      </c>
      <c r="F693" s="115"/>
      <c r="G693" s="329">
        <v>75000000</v>
      </c>
      <c r="H693" s="329">
        <f t="shared" si="133"/>
        <v>75000000</v>
      </c>
      <c r="I693" s="69"/>
      <c r="J693" s="69"/>
      <c r="K693" s="69"/>
      <c r="L693" s="69"/>
    </row>
    <row r="694" spans="1:12" ht="17.25" customHeight="1" x14ac:dyDescent="0.2">
      <c r="A694" s="1566">
        <v>2</v>
      </c>
      <c r="B694" s="1567"/>
      <c r="C694" s="1563" t="s">
        <v>154</v>
      </c>
      <c r="D694" s="1563" t="s">
        <v>54</v>
      </c>
      <c r="E694" s="841" t="s">
        <v>640</v>
      </c>
      <c r="F694" s="115"/>
      <c r="H694" s="329"/>
      <c r="I694" s="69"/>
      <c r="J694" s="69"/>
      <c r="K694" s="69"/>
      <c r="L694" s="69"/>
    </row>
    <row r="695" spans="1:12" ht="17.25" customHeight="1" x14ac:dyDescent="0.2">
      <c r="A695" s="1568"/>
      <c r="B695" s="1569"/>
      <c r="C695" s="1564"/>
      <c r="D695" s="1564"/>
      <c r="E695" s="1027" t="s">
        <v>254</v>
      </c>
      <c r="F695" s="115"/>
      <c r="G695" s="329">
        <v>139204250</v>
      </c>
      <c r="H695" s="329">
        <f t="shared" si="133"/>
        <v>139204250</v>
      </c>
      <c r="I695" s="69"/>
      <c r="J695" s="69"/>
      <c r="K695" s="69"/>
      <c r="L695" s="69"/>
    </row>
    <row r="696" spans="1:12" ht="17.25" customHeight="1" x14ac:dyDescent="0.2">
      <c r="A696" s="1568"/>
      <c r="B696" s="1569"/>
      <c r="C696" s="1564"/>
      <c r="D696" s="1564"/>
      <c r="E696" s="1027" t="s">
        <v>255</v>
      </c>
      <c r="F696" s="115"/>
      <c r="G696" s="329">
        <v>139204250</v>
      </c>
      <c r="H696" s="329">
        <f t="shared" si="133"/>
        <v>139204250</v>
      </c>
      <c r="I696" s="69"/>
      <c r="J696" s="69"/>
      <c r="K696" s="69"/>
      <c r="L696" s="69"/>
    </row>
    <row r="697" spans="1:12" ht="17.25" customHeight="1" x14ac:dyDescent="0.2">
      <c r="A697" s="1570"/>
      <c r="B697" s="1571"/>
      <c r="C697" s="1565"/>
      <c r="D697" s="1565"/>
      <c r="E697" s="1027" t="s">
        <v>256</v>
      </c>
      <c r="F697" s="115"/>
      <c r="G697" s="329">
        <v>139190329</v>
      </c>
      <c r="H697" s="329">
        <f>SUM(F697:G697)</f>
        <v>139190329</v>
      </c>
      <c r="I697" s="69"/>
      <c r="J697" s="69"/>
      <c r="K697" s="69"/>
      <c r="L697" s="69"/>
    </row>
    <row r="698" spans="1:12" ht="17.25" customHeight="1" x14ac:dyDescent="0.2">
      <c r="A698" s="1557">
        <v>3</v>
      </c>
      <c r="B698" s="1558"/>
      <c r="C698" s="1563" t="s">
        <v>154</v>
      </c>
      <c r="D698" s="1563" t="s">
        <v>54</v>
      </c>
      <c r="E698" s="845" t="s">
        <v>641</v>
      </c>
      <c r="F698" s="115"/>
      <c r="G698" s="329"/>
      <c r="H698" s="329"/>
      <c r="I698" s="69"/>
      <c r="J698" s="69"/>
      <c r="K698" s="69"/>
      <c r="L698" s="69"/>
    </row>
    <row r="699" spans="1:12" ht="17.25" customHeight="1" x14ac:dyDescent="0.2">
      <c r="A699" s="1559"/>
      <c r="B699" s="1560"/>
      <c r="C699" s="1564"/>
      <c r="D699" s="1564"/>
      <c r="E699" s="1027" t="s">
        <v>254</v>
      </c>
      <c r="F699" s="115"/>
      <c r="G699" s="329">
        <v>0</v>
      </c>
      <c r="H699" s="329">
        <f>F699+G699</f>
        <v>0</v>
      </c>
      <c r="I699" s="69"/>
      <c r="J699" s="69"/>
      <c r="K699" s="69"/>
      <c r="L699" s="69"/>
    </row>
    <row r="700" spans="1:12" ht="17.25" customHeight="1" x14ac:dyDescent="0.2">
      <c r="A700" s="1559"/>
      <c r="B700" s="1560"/>
      <c r="C700" s="1564"/>
      <c r="D700" s="1564"/>
      <c r="E700" s="1027" t="s">
        <v>255</v>
      </c>
      <c r="F700" s="115"/>
      <c r="G700" s="329">
        <v>27203979</v>
      </c>
      <c r="H700" s="329">
        <f t="shared" ref="H700:H701" si="134">F700+G700</f>
        <v>27203979</v>
      </c>
      <c r="I700" s="69"/>
      <c r="J700" s="69"/>
      <c r="K700" s="69"/>
      <c r="L700" s="69"/>
    </row>
    <row r="701" spans="1:12" ht="17.25" customHeight="1" x14ac:dyDescent="0.2">
      <c r="A701" s="1561"/>
      <c r="B701" s="1562"/>
      <c r="C701" s="1565"/>
      <c r="D701" s="1565"/>
      <c r="E701" s="1027" t="s">
        <v>256</v>
      </c>
      <c r="F701" s="115"/>
      <c r="G701" s="329">
        <v>0</v>
      </c>
      <c r="H701" s="329">
        <f t="shared" si="134"/>
        <v>0</v>
      </c>
      <c r="I701" s="69"/>
      <c r="J701" s="69"/>
      <c r="K701" s="69"/>
      <c r="L701" s="69"/>
    </row>
    <row r="702" spans="1:12" ht="17.25" customHeight="1" x14ac:dyDescent="0.2">
      <c r="A702" s="1557">
        <v>4</v>
      </c>
      <c r="B702" s="1558"/>
      <c r="C702" s="1563" t="s">
        <v>154</v>
      </c>
      <c r="D702" s="1563" t="s">
        <v>54</v>
      </c>
      <c r="E702" s="841" t="s">
        <v>48</v>
      </c>
      <c r="F702" s="115"/>
      <c r="G702" s="329"/>
      <c r="H702" s="329"/>
      <c r="I702" s="69"/>
      <c r="J702" s="69"/>
      <c r="K702" s="69"/>
      <c r="L702" s="69"/>
    </row>
    <row r="703" spans="1:12" ht="17.25" customHeight="1" x14ac:dyDescent="0.2">
      <c r="A703" s="1559"/>
      <c r="B703" s="1560"/>
      <c r="C703" s="1564"/>
      <c r="D703" s="1564"/>
      <c r="E703" s="1027" t="s">
        <v>254</v>
      </c>
      <c r="F703" s="115"/>
      <c r="G703" s="329">
        <v>1306068</v>
      </c>
      <c r="H703" s="329">
        <f t="shared" si="133"/>
        <v>1306068</v>
      </c>
      <c r="I703" s="69"/>
      <c r="J703" s="69"/>
      <c r="K703" s="69"/>
      <c r="L703" s="69"/>
    </row>
    <row r="704" spans="1:12" ht="17.25" customHeight="1" x14ac:dyDescent="0.2">
      <c r="A704" s="1559"/>
      <c r="B704" s="1560"/>
      <c r="C704" s="1564"/>
      <c r="D704" s="1564"/>
      <c r="E704" s="1027" t="s">
        <v>255</v>
      </c>
      <c r="F704" s="115"/>
      <c r="G704" s="329">
        <v>1306068</v>
      </c>
      <c r="H704" s="329">
        <f t="shared" si="133"/>
        <v>1306068</v>
      </c>
      <c r="I704" s="69"/>
      <c r="J704" s="69"/>
      <c r="K704" s="69"/>
      <c r="L704" s="69"/>
    </row>
    <row r="705" spans="1:12" ht="17.25" customHeight="1" x14ac:dyDescent="0.2">
      <c r="A705" s="1559"/>
      <c r="B705" s="1560"/>
      <c r="C705" s="1564"/>
      <c r="D705" s="1564"/>
      <c r="E705" s="1027" t="s">
        <v>256</v>
      </c>
      <c r="F705" s="115"/>
      <c r="G705" s="329">
        <v>1231187</v>
      </c>
      <c r="H705" s="329">
        <f t="shared" si="133"/>
        <v>1231187</v>
      </c>
      <c r="I705" s="69"/>
      <c r="J705" s="69"/>
      <c r="K705" s="69"/>
      <c r="L705" s="69"/>
    </row>
    <row r="706" spans="1:12" ht="17.25" customHeight="1" x14ac:dyDescent="0.2">
      <c r="A706" s="1561"/>
      <c r="B706" s="1562"/>
      <c r="C706" s="1565"/>
      <c r="D706" s="1565"/>
      <c r="E706" s="841"/>
      <c r="F706" s="115"/>
      <c r="G706" s="329"/>
      <c r="H706" s="329">
        <f t="shared" si="133"/>
        <v>0</v>
      </c>
      <c r="I706" s="69"/>
      <c r="J706" s="69"/>
      <c r="K706" s="69"/>
      <c r="L706" s="69"/>
    </row>
    <row r="707" spans="1:12" s="801" customFormat="1" ht="15" customHeight="1" x14ac:dyDescent="0.2">
      <c r="A707" s="1688" t="s">
        <v>136</v>
      </c>
      <c r="B707" s="1688"/>
      <c r="C707" s="1688"/>
      <c r="D707" s="1688"/>
      <c r="E707" s="1688"/>
      <c r="F707" s="354"/>
      <c r="G707" s="354"/>
      <c r="H707" s="354"/>
      <c r="I707" s="800"/>
      <c r="J707" s="800"/>
      <c r="K707" s="800"/>
      <c r="L707" s="800"/>
    </row>
    <row r="708" spans="1:12" s="801" customFormat="1" ht="15" customHeight="1" x14ac:dyDescent="0.2">
      <c r="A708" s="1688"/>
      <c r="B708" s="1688"/>
      <c r="C708" s="1688"/>
      <c r="D708" s="1688"/>
      <c r="E708" s="357" t="s">
        <v>254</v>
      </c>
      <c r="F708" s="354">
        <f>F716+F720+F733+F736</f>
        <v>23541689</v>
      </c>
      <c r="G708" s="354">
        <f>G716+G720+G733+G736</f>
        <v>7258311</v>
      </c>
      <c r="H708" s="354">
        <f>SUM(F708:G708)</f>
        <v>30800000</v>
      </c>
      <c r="I708" s="800"/>
      <c r="J708" s="800"/>
      <c r="K708" s="800"/>
      <c r="L708" s="800"/>
    </row>
    <row r="709" spans="1:12" s="801" customFormat="1" ht="15" customHeight="1" x14ac:dyDescent="0.2">
      <c r="A709" s="1688"/>
      <c r="B709" s="1688"/>
      <c r="C709" s="1688"/>
      <c r="D709" s="1688"/>
      <c r="E709" s="357" t="s">
        <v>255</v>
      </c>
      <c r="F709" s="354">
        <f t="shared" ref="F709:G710" si="135">F717+F721+F734+F737</f>
        <v>38434241</v>
      </c>
      <c r="G709" s="354">
        <f t="shared" si="135"/>
        <v>0</v>
      </c>
      <c r="H709" s="354">
        <f t="shared" ref="H709:H710" si="136">SUM(F709:G709)</f>
        <v>38434241</v>
      </c>
      <c r="I709" s="800"/>
      <c r="J709" s="800"/>
      <c r="K709" s="800"/>
      <c r="L709" s="800"/>
    </row>
    <row r="710" spans="1:12" s="801" customFormat="1" ht="15" customHeight="1" x14ac:dyDescent="0.2">
      <c r="A710" s="1688"/>
      <c r="B710" s="1688"/>
      <c r="C710" s="1688"/>
      <c r="D710" s="1688"/>
      <c r="E710" s="357" t="s">
        <v>256</v>
      </c>
      <c r="F710" s="354">
        <f t="shared" si="135"/>
        <v>36573055</v>
      </c>
      <c r="G710" s="354">
        <f t="shared" si="135"/>
        <v>0</v>
      </c>
      <c r="H710" s="354">
        <f t="shared" si="136"/>
        <v>36573055</v>
      </c>
      <c r="I710" s="800"/>
      <c r="J710" s="800"/>
      <c r="K710" s="800"/>
      <c r="L710" s="800"/>
    </row>
    <row r="711" spans="1:12" s="801" customFormat="1" ht="15" customHeight="1" x14ac:dyDescent="0.2">
      <c r="A711" s="1572" t="s">
        <v>99</v>
      </c>
      <c r="B711" s="1572"/>
      <c r="C711" s="1572"/>
      <c r="D711" s="1572"/>
      <c r="E711" s="1572"/>
      <c r="F711" s="849">
        <v>0</v>
      </c>
      <c r="G711" s="849"/>
      <c r="H711" s="849">
        <v>0</v>
      </c>
      <c r="I711" s="800"/>
      <c r="J711" s="800"/>
      <c r="K711" s="800"/>
      <c r="L711" s="800"/>
    </row>
    <row r="712" spans="1:12" s="801" customFormat="1" ht="15" customHeight="1" x14ac:dyDescent="0.2">
      <c r="A712" s="1572" t="s">
        <v>100</v>
      </c>
      <c r="B712" s="1572"/>
      <c r="C712" s="1572"/>
      <c r="D712" s="1572"/>
      <c r="E712" s="1572"/>
      <c r="F712" s="849">
        <v>0</v>
      </c>
      <c r="G712" s="849"/>
      <c r="H712" s="849">
        <v>0</v>
      </c>
      <c r="I712" s="800"/>
      <c r="J712" s="800"/>
      <c r="K712" s="800"/>
      <c r="L712" s="800"/>
    </row>
    <row r="713" spans="1:12" s="801" customFormat="1" ht="15" customHeight="1" x14ac:dyDescent="0.2">
      <c r="A713" s="1572" t="s">
        <v>138</v>
      </c>
      <c r="B713" s="1572"/>
      <c r="C713" s="1572"/>
      <c r="D713" s="1572"/>
      <c r="E713" s="1572"/>
      <c r="F713" s="849">
        <v>0</v>
      </c>
      <c r="G713" s="849"/>
      <c r="H713" s="849">
        <v>0</v>
      </c>
      <c r="I713" s="800"/>
      <c r="J713" s="800"/>
      <c r="K713" s="800"/>
      <c r="L713" s="800"/>
    </row>
    <row r="714" spans="1:12" s="801" customFormat="1" ht="14.25" customHeight="1" x14ac:dyDescent="0.2">
      <c r="A714" s="1572" t="s">
        <v>145</v>
      </c>
      <c r="B714" s="1572"/>
      <c r="C714" s="1572"/>
      <c r="D714" s="1572"/>
      <c r="E714" s="1572"/>
      <c r="F714" s="851"/>
      <c r="G714" s="851"/>
      <c r="H714" s="851"/>
      <c r="I714" s="800"/>
      <c r="J714" s="800"/>
      <c r="K714" s="800"/>
      <c r="L714" s="800"/>
    </row>
    <row r="715" spans="1:12" s="801" customFormat="1" ht="14.25" customHeight="1" x14ac:dyDescent="0.2">
      <c r="A715" s="1767">
        <v>1</v>
      </c>
      <c r="B715" s="1767"/>
      <c r="C715" s="1767" t="s">
        <v>570</v>
      </c>
      <c r="D715" s="1767" t="s">
        <v>55</v>
      </c>
      <c r="E715" s="1320" t="s">
        <v>101</v>
      </c>
      <c r="F715" s="849"/>
      <c r="G715" s="849"/>
      <c r="H715" s="849"/>
      <c r="I715" s="800"/>
      <c r="J715" s="800"/>
      <c r="K715" s="800"/>
      <c r="L715" s="800"/>
    </row>
    <row r="716" spans="1:12" s="801" customFormat="1" ht="14.25" customHeight="1" x14ac:dyDescent="0.2">
      <c r="A716" s="1767"/>
      <c r="B716" s="1767"/>
      <c r="C716" s="1767"/>
      <c r="D716" s="1767"/>
      <c r="E716" s="852" t="s">
        <v>254</v>
      </c>
      <c r="F716" s="849">
        <v>5800000</v>
      </c>
      <c r="G716" s="849"/>
      <c r="H716" s="849">
        <f>F716</f>
        <v>5800000</v>
      </c>
      <c r="I716" s="800"/>
      <c r="J716" s="800"/>
      <c r="K716" s="800"/>
      <c r="L716" s="800"/>
    </row>
    <row r="717" spans="1:12" s="801" customFormat="1" ht="14.25" customHeight="1" x14ac:dyDescent="0.2">
      <c r="A717" s="1767"/>
      <c r="B717" s="1767"/>
      <c r="C717" s="1767"/>
      <c r="D717" s="1767"/>
      <c r="E717" s="852" t="s">
        <v>255</v>
      </c>
      <c r="F717" s="849">
        <v>5800000</v>
      </c>
      <c r="G717" s="849"/>
      <c r="H717" s="849">
        <f>F717</f>
        <v>5800000</v>
      </c>
      <c r="I717" s="800"/>
      <c r="J717" s="800"/>
      <c r="K717" s="800"/>
      <c r="L717" s="800"/>
    </row>
    <row r="718" spans="1:12" s="801" customFormat="1" ht="14.25" customHeight="1" x14ac:dyDescent="0.2">
      <c r="A718" s="1767"/>
      <c r="B718" s="1767"/>
      <c r="C718" s="1767"/>
      <c r="D718" s="1767"/>
      <c r="E718" s="852" t="s">
        <v>256</v>
      </c>
      <c r="F718" s="849">
        <v>5605555</v>
      </c>
      <c r="G718" s="849"/>
      <c r="H718" s="849">
        <f>F718</f>
        <v>5605555</v>
      </c>
      <c r="I718" s="800"/>
      <c r="J718" s="800"/>
      <c r="K718" s="800"/>
      <c r="L718" s="800"/>
    </row>
    <row r="719" spans="1:12" s="801" customFormat="1" ht="14.25" customHeight="1" x14ac:dyDescent="0.2">
      <c r="A719" s="1572" t="s">
        <v>146</v>
      </c>
      <c r="B719" s="1572"/>
      <c r="C719" s="1572"/>
      <c r="D719" s="1572"/>
      <c r="E719" s="1572"/>
      <c r="F719" s="851"/>
      <c r="G719" s="851"/>
      <c r="H719" s="851"/>
      <c r="I719" s="800"/>
      <c r="J719" s="800"/>
      <c r="K719" s="800"/>
      <c r="L719" s="800"/>
    </row>
    <row r="720" spans="1:12" s="801" customFormat="1" ht="14.25" customHeight="1" x14ac:dyDescent="0.2">
      <c r="A720" s="1556"/>
      <c r="B720" s="1556"/>
      <c r="C720" s="1556"/>
      <c r="D720" s="1556"/>
      <c r="E720" s="1321" t="s">
        <v>254</v>
      </c>
      <c r="F720" s="851">
        <f>F724+F728</f>
        <v>17741689</v>
      </c>
      <c r="G720" s="851">
        <f>G724</f>
        <v>7258311</v>
      </c>
      <c r="H720" s="851">
        <f>F720</f>
        <v>17741689</v>
      </c>
      <c r="I720" s="800"/>
      <c r="J720" s="800"/>
      <c r="K720" s="800"/>
      <c r="L720" s="800"/>
    </row>
    <row r="721" spans="1:12" s="801" customFormat="1" ht="14.25" customHeight="1" x14ac:dyDescent="0.2">
      <c r="A721" s="1556"/>
      <c r="B721" s="1556"/>
      <c r="C721" s="1556"/>
      <c r="D721" s="1556"/>
      <c r="E721" s="1321" t="s">
        <v>255</v>
      </c>
      <c r="F721" s="851">
        <f t="shared" ref="F721:F722" si="137">F725+F729</f>
        <v>32518830</v>
      </c>
      <c r="G721" s="851">
        <f t="shared" ref="G721:G722" si="138">G725</f>
        <v>0</v>
      </c>
      <c r="H721" s="851">
        <f t="shared" ref="H721:H735" si="139">F721</f>
        <v>32518830</v>
      </c>
      <c r="I721" s="800"/>
      <c r="J721" s="800"/>
      <c r="K721" s="800"/>
      <c r="L721" s="800"/>
    </row>
    <row r="722" spans="1:12" s="801" customFormat="1" ht="14.25" customHeight="1" x14ac:dyDescent="0.2">
      <c r="A722" s="1556"/>
      <c r="B722" s="1556"/>
      <c r="C722" s="1556"/>
      <c r="D722" s="1556"/>
      <c r="E722" s="1321" t="s">
        <v>256</v>
      </c>
      <c r="F722" s="851">
        <f t="shared" si="137"/>
        <v>30852089</v>
      </c>
      <c r="G722" s="851">
        <f t="shared" si="138"/>
        <v>0</v>
      </c>
      <c r="H722" s="851">
        <f t="shared" si="139"/>
        <v>30852089</v>
      </c>
      <c r="I722" s="800"/>
      <c r="J722" s="800"/>
      <c r="K722" s="800"/>
      <c r="L722" s="800"/>
    </row>
    <row r="723" spans="1:12" s="801" customFormat="1" ht="14.25" customHeight="1" x14ac:dyDescent="0.2">
      <c r="A723" s="1552">
        <v>1</v>
      </c>
      <c r="B723" s="1552"/>
      <c r="C723" s="1552" t="s">
        <v>203</v>
      </c>
      <c r="D723" s="1552" t="s">
        <v>55</v>
      </c>
      <c r="E723" s="802" t="s">
        <v>102</v>
      </c>
      <c r="F723" s="849"/>
      <c r="G723" s="849"/>
      <c r="H723" s="849"/>
      <c r="I723" s="800"/>
      <c r="J723" s="800"/>
      <c r="K723" s="800"/>
      <c r="L723" s="800"/>
    </row>
    <row r="724" spans="1:12" s="801" customFormat="1" ht="14.25" customHeight="1" x14ac:dyDescent="0.2">
      <c r="A724" s="1552"/>
      <c r="B724" s="1552"/>
      <c r="C724" s="1552"/>
      <c r="D724" s="1552"/>
      <c r="E724" s="852" t="s">
        <v>254</v>
      </c>
      <c r="F724" s="1168">
        <f>20000000-7258311</f>
        <v>12741689</v>
      </c>
      <c r="G724" s="1322">
        <v>7258311</v>
      </c>
      <c r="H724" s="849">
        <f>F724+G724</f>
        <v>20000000</v>
      </c>
      <c r="I724" s="800"/>
      <c r="J724" s="800"/>
      <c r="K724" s="800"/>
      <c r="L724" s="800"/>
    </row>
    <row r="725" spans="1:12" s="801" customFormat="1" ht="14.25" customHeight="1" x14ac:dyDescent="0.2">
      <c r="A725" s="1552"/>
      <c r="B725" s="1552"/>
      <c r="C725" s="1552"/>
      <c r="D725" s="1552"/>
      <c r="E725" s="852" t="s">
        <v>255</v>
      </c>
      <c r="F725" s="1168">
        <v>27154169</v>
      </c>
      <c r="G725" s="1322">
        <v>0</v>
      </c>
      <c r="H725" s="849">
        <f t="shared" ref="H725:H726" si="140">F725+G725</f>
        <v>27154169</v>
      </c>
      <c r="I725" s="800"/>
      <c r="J725" s="800"/>
      <c r="K725" s="800"/>
      <c r="L725" s="800"/>
    </row>
    <row r="726" spans="1:12" s="801" customFormat="1" ht="14.25" customHeight="1" x14ac:dyDescent="0.2">
      <c r="A726" s="1552"/>
      <c r="B726" s="1552"/>
      <c r="C726" s="1552"/>
      <c r="D726" s="1552"/>
      <c r="E726" s="852" t="s">
        <v>256</v>
      </c>
      <c r="F726" s="849">
        <v>25487428</v>
      </c>
      <c r="G726" s="849"/>
      <c r="H726" s="849">
        <f t="shared" si="140"/>
        <v>25487428</v>
      </c>
      <c r="I726" s="800"/>
      <c r="J726" s="800"/>
      <c r="K726" s="800"/>
      <c r="L726" s="800"/>
    </row>
    <row r="727" spans="1:12" s="801" customFormat="1" ht="14.25" customHeight="1" x14ac:dyDescent="0.2">
      <c r="A727" s="1552">
        <v>2</v>
      </c>
      <c r="B727" s="1552"/>
      <c r="C727" s="1552" t="s">
        <v>204</v>
      </c>
      <c r="D727" s="1552" t="s">
        <v>54</v>
      </c>
      <c r="E727" s="358" t="s">
        <v>26</v>
      </c>
      <c r="F727" s="849"/>
      <c r="G727" s="849"/>
      <c r="H727" s="849"/>
      <c r="I727" s="800"/>
      <c r="J727" s="800"/>
      <c r="K727" s="800"/>
      <c r="L727" s="800"/>
    </row>
    <row r="728" spans="1:12" s="801" customFormat="1" ht="14.25" customHeight="1" x14ac:dyDescent="0.2">
      <c r="A728" s="1552"/>
      <c r="B728" s="1552"/>
      <c r="C728" s="1552"/>
      <c r="D728" s="1552"/>
      <c r="E728" s="852" t="s">
        <v>254</v>
      </c>
      <c r="F728" s="849">
        <v>5000000</v>
      </c>
      <c r="G728" s="849"/>
      <c r="H728" s="849">
        <f t="shared" si="139"/>
        <v>5000000</v>
      </c>
      <c r="I728" s="800"/>
      <c r="J728" s="800"/>
      <c r="K728" s="800"/>
      <c r="L728" s="800"/>
    </row>
    <row r="729" spans="1:12" s="801" customFormat="1" ht="14.25" customHeight="1" x14ac:dyDescent="0.2">
      <c r="A729" s="1552"/>
      <c r="B729" s="1552"/>
      <c r="C729" s="1552"/>
      <c r="D729" s="1552"/>
      <c r="E729" s="852" t="s">
        <v>255</v>
      </c>
      <c r="F729" s="849">
        <v>5364661</v>
      </c>
      <c r="G729" s="849"/>
      <c r="H729" s="849">
        <f t="shared" si="139"/>
        <v>5364661</v>
      </c>
      <c r="I729" s="800"/>
      <c r="J729" s="800"/>
      <c r="K729" s="800"/>
      <c r="L729" s="800"/>
    </row>
    <row r="730" spans="1:12" s="801" customFormat="1" ht="14.25" customHeight="1" x14ac:dyDescent="0.2">
      <c r="A730" s="1552"/>
      <c r="B730" s="1552"/>
      <c r="C730" s="1552"/>
      <c r="D730" s="1552"/>
      <c r="E730" s="852" t="s">
        <v>256</v>
      </c>
      <c r="F730" s="849">
        <v>5364661</v>
      </c>
      <c r="G730" s="849"/>
      <c r="H730" s="849">
        <f t="shared" si="139"/>
        <v>5364661</v>
      </c>
      <c r="I730" s="800"/>
      <c r="J730" s="800"/>
      <c r="K730" s="800"/>
      <c r="L730" s="800"/>
    </row>
    <row r="731" spans="1:12" s="801" customFormat="1" ht="14.25" customHeight="1" x14ac:dyDescent="0.2">
      <c r="A731" s="1572" t="s">
        <v>103</v>
      </c>
      <c r="B731" s="1572"/>
      <c r="C731" s="1572"/>
      <c r="D731" s="1572"/>
      <c r="E731" s="1572"/>
      <c r="F731" s="851"/>
      <c r="G731" s="851"/>
      <c r="H731" s="851"/>
      <c r="I731" s="800"/>
      <c r="J731" s="800"/>
      <c r="K731" s="800"/>
      <c r="L731" s="800"/>
    </row>
    <row r="732" spans="1:12" s="801" customFormat="1" ht="14.25" customHeight="1" x14ac:dyDescent="0.2">
      <c r="A732" s="1543">
        <v>1</v>
      </c>
      <c r="B732" s="1544"/>
      <c r="C732" s="1549" t="s">
        <v>104</v>
      </c>
      <c r="D732" s="853"/>
      <c r="E732" s="358" t="s">
        <v>159</v>
      </c>
      <c r="F732" s="849"/>
      <c r="G732" s="849"/>
      <c r="H732" s="851"/>
      <c r="I732" s="800"/>
      <c r="J732" s="800"/>
      <c r="K732" s="800"/>
      <c r="L732" s="800"/>
    </row>
    <row r="733" spans="1:12" s="801" customFormat="1" ht="14.25" customHeight="1" x14ac:dyDescent="0.2">
      <c r="A733" s="1545"/>
      <c r="B733" s="1546"/>
      <c r="C733" s="1550"/>
      <c r="D733" s="1549" t="s">
        <v>55</v>
      </c>
      <c r="E733" s="852" t="s">
        <v>254</v>
      </c>
      <c r="F733" s="849">
        <v>0</v>
      </c>
      <c r="G733" s="849"/>
      <c r="H733" s="851">
        <f t="shared" si="139"/>
        <v>0</v>
      </c>
      <c r="I733" s="800"/>
      <c r="J733" s="800"/>
      <c r="K733" s="800"/>
      <c r="L733" s="800"/>
    </row>
    <row r="734" spans="1:12" s="801" customFormat="1" ht="14.25" customHeight="1" x14ac:dyDescent="0.2">
      <c r="A734" s="1545"/>
      <c r="B734" s="1546"/>
      <c r="C734" s="1550"/>
      <c r="D734" s="1550"/>
      <c r="E734" s="852" t="s">
        <v>255</v>
      </c>
      <c r="F734" s="849">
        <v>0</v>
      </c>
      <c r="G734" s="849"/>
      <c r="H734" s="851">
        <f t="shared" si="139"/>
        <v>0</v>
      </c>
      <c r="I734" s="800"/>
      <c r="J734" s="800"/>
      <c r="K734" s="800"/>
      <c r="L734" s="800"/>
    </row>
    <row r="735" spans="1:12" s="801" customFormat="1" ht="14.25" customHeight="1" x14ac:dyDescent="0.2">
      <c r="A735" s="1545"/>
      <c r="B735" s="1546"/>
      <c r="C735" s="1550"/>
      <c r="D735" s="1551"/>
      <c r="E735" s="852" t="s">
        <v>256</v>
      </c>
      <c r="F735" s="849">
        <v>0</v>
      </c>
      <c r="G735" s="849"/>
      <c r="H735" s="851">
        <f t="shared" si="139"/>
        <v>0</v>
      </c>
      <c r="I735" s="800"/>
      <c r="J735" s="800"/>
      <c r="K735" s="800"/>
      <c r="L735" s="800"/>
    </row>
    <row r="736" spans="1:12" s="801" customFormat="1" ht="14.25" customHeight="1" x14ac:dyDescent="0.2">
      <c r="A736" s="1545"/>
      <c r="B736" s="1546"/>
      <c r="C736" s="1550"/>
      <c r="D736" s="1549" t="s">
        <v>54</v>
      </c>
      <c r="E736" s="852" t="s">
        <v>254</v>
      </c>
      <c r="F736" s="849">
        <v>0</v>
      </c>
      <c r="G736" s="849"/>
      <c r="H736" s="851">
        <f>F736</f>
        <v>0</v>
      </c>
      <c r="I736" s="800"/>
      <c r="J736" s="800"/>
      <c r="K736" s="800"/>
      <c r="L736" s="800"/>
    </row>
    <row r="737" spans="1:12" s="801" customFormat="1" ht="14.25" customHeight="1" x14ac:dyDescent="0.2">
      <c r="A737" s="1545"/>
      <c r="B737" s="1546"/>
      <c r="C737" s="1550"/>
      <c r="D737" s="1550"/>
      <c r="E737" s="852" t="s">
        <v>255</v>
      </c>
      <c r="F737" s="849">
        <v>115411</v>
      </c>
      <c r="G737" s="849"/>
      <c r="H737" s="851">
        <f>F737</f>
        <v>115411</v>
      </c>
      <c r="I737" s="800"/>
      <c r="J737" s="800"/>
      <c r="K737" s="800"/>
      <c r="L737" s="800"/>
    </row>
    <row r="738" spans="1:12" s="801" customFormat="1" ht="14.25" customHeight="1" x14ac:dyDescent="0.2">
      <c r="A738" s="1547"/>
      <c r="B738" s="1548"/>
      <c r="C738" s="1551"/>
      <c r="D738" s="1551"/>
      <c r="E738" s="852" t="s">
        <v>256</v>
      </c>
      <c r="F738" s="849">
        <v>115411</v>
      </c>
      <c r="G738" s="849"/>
      <c r="H738" s="851">
        <f>F738</f>
        <v>115411</v>
      </c>
      <c r="I738" s="800"/>
      <c r="J738" s="800"/>
      <c r="K738" s="800"/>
      <c r="L738" s="800"/>
    </row>
    <row r="739" spans="1:12" ht="14.25" customHeight="1" x14ac:dyDescent="0.2">
      <c r="A739" s="1620" t="s">
        <v>105</v>
      </c>
      <c r="B739" s="1620"/>
      <c r="C739" s="1620"/>
      <c r="D739" s="1620"/>
      <c r="E739" s="1620"/>
      <c r="F739" s="847"/>
      <c r="G739" s="847"/>
      <c r="H739" s="847"/>
      <c r="I739" s="69"/>
      <c r="J739" s="69"/>
      <c r="K739" s="69"/>
      <c r="L739" s="69"/>
    </row>
    <row r="740" spans="1:12" ht="14.25" customHeight="1" x14ac:dyDescent="0.2">
      <c r="A740" s="1178"/>
      <c r="B740" s="1178"/>
      <c r="C740" s="1178"/>
      <c r="D740" s="1178"/>
      <c r="E740" s="848" t="s">
        <v>254</v>
      </c>
      <c r="F740" s="847">
        <f>F744+F748+F751+F758+F762+F765+F769+F772+F776+F779+F783+F786+F790+F793+F797+F800+F811+F814</f>
        <v>16037113</v>
      </c>
      <c r="G740" s="847"/>
      <c r="H740" s="847">
        <f>F740</f>
        <v>16037113</v>
      </c>
      <c r="I740" s="69"/>
      <c r="J740" s="69"/>
      <c r="K740" s="69"/>
      <c r="L740" s="69"/>
    </row>
    <row r="741" spans="1:12" ht="14.25" customHeight="1" x14ac:dyDescent="0.2">
      <c r="A741" s="1178"/>
      <c r="B741" s="1178"/>
      <c r="C741" s="1178"/>
      <c r="D741" s="1178"/>
      <c r="E741" s="848" t="s">
        <v>255</v>
      </c>
      <c r="F741" s="847">
        <f>F745+F749+F752+F759+F763+F766+F770+F773+F777+F780+F784+F787+F791+F794+F798+F801+F812+F815+F808</f>
        <v>20004985</v>
      </c>
      <c r="G741" s="847"/>
      <c r="H741" s="847">
        <f t="shared" ref="H741:H815" si="141">F741</f>
        <v>20004985</v>
      </c>
      <c r="I741" s="69"/>
      <c r="J741" s="69"/>
      <c r="K741" s="69"/>
      <c r="L741" s="69"/>
    </row>
    <row r="742" spans="1:12" ht="14.25" customHeight="1" x14ac:dyDescent="0.2">
      <c r="A742" s="1178"/>
      <c r="B742" s="1178"/>
      <c r="C742" s="1178"/>
      <c r="D742" s="1178"/>
      <c r="E742" s="848" t="s">
        <v>256</v>
      </c>
      <c r="F742" s="847">
        <f>F746+F750+F753+F760+F764+F767+F771+F774+F778+F781+F785+F788+F792+F795+F799+F802+F813+F816+F809</f>
        <v>15757694</v>
      </c>
      <c r="G742" s="847"/>
      <c r="H742" s="847">
        <f>F742</f>
        <v>15757694</v>
      </c>
      <c r="I742" s="69"/>
      <c r="J742" s="69"/>
      <c r="K742" s="69"/>
      <c r="L742" s="69"/>
    </row>
    <row r="743" spans="1:12" ht="12.75" customHeight="1" x14ac:dyDescent="0.2">
      <c r="A743" s="1543">
        <v>1</v>
      </c>
      <c r="B743" s="1544"/>
      <c r="C743" s="1553" t="s">
        <v>141</v>
      </c>
      <c r="D743" s="1553" t="s">
        <v>54</v>
      </c>
      <c r="E743" s="802" t="s">
        <v>157</v>
      </c>
      <c r="F743" s="849"/>
      <c r="G743" s="850"/>
      <c r="H743" s="851"/>
      <c r="I743" s="69"/>
      <c r="J743" s="69"/>
      <c r="K743" s="69"/>
      <c r="L743" s="69"/>
    </row>
    <row r="744" spans="1:12" ht="12.75" customHeight="1" x14ac:dyDescent="0.2">
      <c r="A744" s="1545"/>
      <c r="B744" s="1546"/>
      <c r="C744" s="1554"/>
      <c r="D744" s="1554"/>
      <c r="E744" s="852" t="s">
        <v>254</v>
      </c>
      <c r="F744" s="849">
        <v>2968192</v>
      </c>
      <c r="G744" s="850"/>
      <c r="H744" s="851">
        <f t="shared" si="141"/>
        <v>2968192</v>
      </c>
      <c r="I744" s="69"/>
      <c r="J744" s="69"/>
      <c r="K744" s="69"/>
      <c r="L744" s="69"/>
    </row>
    <row r="745" spans="1:12" ht="12.75" customHeight="1" x14ac:dyDescent="0.2">
      <c r="A745" s="1545"/>
      <c r="B745" s="1546"/>
      <c r="C745" s="1554"/>
      <c r="D745" s="1554"/>
      <c r="E745" s="852" t="s">
        <v>255</v>
      </c>
      <c r="F745" s="849">
        <v>2968192</v>
      </c>
      <c r="G745" s="850"/>
      <c r="H745" s="851">
        <f t="shared" si="141"/>
        <v>2968192</v>
      </c>
      <c r="I745" s="69"/>
      <c r="J745" s="69"/>
      <c r="K745" s="69"/>
      <c r="L745" s="69"/>
    </row>
    <row r="746" spans="1:12" ht="12.75" customHeight="1" x14ac:dyDescent="0.2">
      <c r="A746" s="1547"/>
      <c r="B746" s="1548"/>
      <c r="C746" s="1555"/>
      <c r="D746" s="1555"/>
      <c r="E746" s="852" t="s">
        <v>256</v>
      </c>
      <c r="F746" s="849">
        <v>2927933</v>
      </c>
      <c r="G746" s="850"/>
      <c r="H746" s="851">
        <f t="shared" si="141"/>
        <v>2927933</v>
      </c>
      <c r="I746" s="69"/>
      <c r="J746" s="69"/>
      <c r="K746" s="69"/>
      <c r="L746" s="69"/>
    </row>
    <row r="747" spans="1:12" ht="12.75" customHeight="1" x14ac:dyDescent="0.2">
      <c r="A747" s="1543">
        <v>2</v>
      </c>
      <c r="B747" s="1544"/>
      <c r="C747" s="1549" t="s">
        <v>109</v>
      </c>
      <c r="D747" s="853"/>
      <c r="E747" s="358" t="s">
        <v>156</v>
      </c>
      <c r="F747" s="849"/>
      <c r="G747" s="850"/>
      <c r="H747" s="851"/>
      <c r="I747" s="69"/>
      <c r="J747" s="69"/>
      <c r="K747" s="69"/>
      <c r="L747" s="69"/>
    </row>
    <row r="748" spans="1:12" ht="12.75" customHeight="1" x14ac:dyDescent="0.2">
      <c r="A748" s="1545"/>
      <c r="B748" s="1546"/>
      <c r="C748" s="1550"/>
      <c r="D748" s="1549" t="s">
        <v>55</v>
      </c>
      <c r="E748" s="852" t="s">
        <v>254</v>
      </c>
      <c r="F748" s="802">
        <v>2000000</v>
      </c>
      <c r="G748" s="850"/>
      <c r="H748" s="851"/>
      <c r="I748" s="69"/>
      <c r="J748" s="69"/>
      <c r="K748" s="69"/>
      <c r="L748" s="69"/>
    </row>
    <row r="749" spans="1:12" ht="12.75" customHeight="1" x14ac:dyDescent="0.2">
      <c r="A749" s="1545"/>
      <c r="B749" s="1546"/>
      <c r="C749" s="1550"/>
      <c r="D749" s="1550"/>
      <c r="E749" s="852" t="s">
        <v>255</v>
      </c>
      <c r="F749" s="802">
        <v>4348432</v>
      </c>
      <c r="G749" s="850"/>
      <c r="H749" s="851"/>
      <c r="I749" s="69"/>
      <c r="J749" s="69"/>
      <c r="K749" s="69"/>
      <c r="L749" s="69"/>
    </row>
    <row r="750" spans="1:12" ht="12.75" customHeight="1" x14ac:dyDescent="0.2">
      <c r="A750" s="1545"/>
      <c r="B750" s="1546"/>
      <c r="C750" s="1550"/>
      <c r="D750" s="1551"/>
      <c r="E750" s="852" t="s">
        <v>256</v>
      </c>
      <c r="F750" s="802">
        <v>4348432</v>
      </c>
      <c r="G750" s="850"/>
      <c r="H750" s="851"/>
      <c r="I750" s="69"/>
      <c r="J750" s="69"/>
      <c r="K750" s="69"/>
      <c r="L750" s="69"/>
    </row>
    <row r="751" spans="1:12" ht="12.75" customHeight="1" x14ac:dyDescent="0.2">
      <c r="A751" s="1545"/>
      <c r="B751" s="1546"/>
      <c r="C751" s="1550"/>
      <c r="D751" s="1549" t="s">
        <v>54</v>
      </c>
      <c r="E751" s="852" t="s">
        <v>254</v>
      </c>
      <c r="F751" s="849">
        <v>0</v>
      </c>
      <c r="G751" s="850"/>
      <c r="H751" s="851">
        <f>F751</f>
        <v>0</v>
      </c>
      <c r="I751" s="69"/>
      <c r="J751" s="69"/>
      <c r="K751" s="69"/>
      <c r="L751" s="69"/>
    </row>
    <row r="752" spans="1:12" ht="12.75" customHeight="1" x14ac:dyDescent="0.2">
      <c r="A752" s="1545"/>
      <c r="B752" s="1546"/>
      <c r="C752" s="1550"/>
      <c r="D752" s="1550"/>
      <c r="E752" s="852" t="s">
        <v>255</v>
      </c>
      <c r="F752" s="849">
        <v>0</v>
      </c>
      <c r="G752" s="850"/>
      <c r="H752" s="851">
        <f>F752</f>
        <v>0</v>
      </c>
      <c r="I752" s="69"/>
      <c r="J752" s="69"/>
      <c r="K752" s="69"/>
      <c r="L752" s="69"/>
    </row>
    <row r="753" spans="1:12" ht="12.75" customHeight="1" x14ac:dyDescent="0.2">
      <c r="A753" s="1547"/>
      <c r="B753" s="1548"/>
      <c r="C753" s="1551"/>
      <c r="D753" s="1551"/>
      <c r="E753" s="852" t="s">
        <v>256</v>
      </c>
      <c r="F753" s="849">
        <v>0</v>
      </c>
      <c r="G753" s="850"/>
      <c r="H753" s="851">
        <f>F753</f>
        <v>0</v>
      </c>
      <c r="I753" s="69"/>
      <c r="J753" s="69"/>
      <c r="K753" s="69"/>
      <c r="L753" s="69"/>
    </row>
    <row r="754" spans="1:12" ht="12.75" customHeight="1" x14ac:dyDescent="0.2">
      <c r="A754" s="1543">
        <v>3</v>
      </c>
      <c r="B754" s="1544"/>
      <c r="C754" s="1549" t="s">
        <v>107</v>
      </c>
      <c r="D754" s="854"/>
      <c r="E754" s="358" t="s">
        <v>158</v>
      </c>
      <c r="F754" s="849"/>
      <c r="G754" s="850"/>
      <c r="H754" s="851"/>
      <c r="I754" s="69"/>
      <c r="J754" s="69"/>
      <c r="K754" s="69"/>
      <c r="L754" s="69"/>
    </row>
    <row r="755" spans="1:12" ht="12.75" customHeight="1" x14ac:dyDescent="0.2">
      <c r="A755" s="1545"/>
      <c r="B755" s="1546"/>
      <c r="C755" s="1550"/>
      <c r="D755" s="1550" t="s">
        <v>55</v>
      </c>
      <c r="E755" s="852" t="s">
        <v>254</v>
      </c>
      <c r="F755" s="802"/>
      <c r="G755" s="850"/>
      <c r="H755" s="851">
        <f>F755</f>
        <v>0</v>
      </c>
      <c r="I755" s="69"/>
      <c r="J755" s="69"/>
      <c r="K755" s="69"/>
      <c r="L755" s="69"/>
    </row>
    <row r="756" spans="1:12" ht="12.75" customHeight="1" x14ac:dyDescent="0.2">
      <c r="A756" s="1545"/>
      <c r="B756" s="1546"/>
      <c r="C756" s="1550"/>
      <c r="D756" s="1550"/>
      <c r="E756" s="852" t="s">
        <v>255</v>
      </c>
      <c r="F756" s="802"/>
      <c r="G756" s="850"/>
      <c r="H756" s="851">
        <f t="shared" ref="H756:H757" si="142">F756</f>
        <v>0</v>
      </c>
      <c r="I756" s="69"/>
      <c r="J756" s="69"/>
      <c r="K756" s="69"/>
      <c r="L756" s="69"/>
    </row>
    <row r="757" spans="1:12" ht="12.75" customHeight="1" x14ac:dyDescent="0.2">
      <c r="A757" s="1545"/>
      <c r="B757" s="1546"/>
      <c r="C757" s="1550"/>
      <c r="D757" s="1551"/>
      <c r="E757" s="852" t="s">
        <v>256</v>
      </c>
      <c r="G757" s="850"/>
      <c r="H757" s="851">
        <f t="shared" si="142"/>
        <v>0</v>
      </c>
      <c r="I757" s="69"/>
      <c r="J757" s="69"/>
      <c r="K757" s="69"/>
      <c r="L757" s="69"/>
    </row>
    <row r="758" spans="1:12" ht="12.75" customHeight="1" x14ac:dyDescent="0.2">
      <c r="A758" s="1545"/>
      <c r="B758" s="1546"/>
      <c r="C758" s="1550"/>
      <c r="D758" s="1549" t="s">
        <v>54</v>
      </c>
      <c r="E758" s="852" t="s">
        <v>254</v>
      </c>
      <c r="F758" s="849">
        <v>2748208</v>
      </c>
      <c r="G758" s="850"/>
      <c r="H758" s="851">
        <f>F758</f>
        <v>2748208</v>
      </c>
      <c r="I758" s="69"/>
      <c r="J758" s="69"/>
      <c r="K758" s="69"/>
      <c r="L758" s="69"/>
    </row>
    <row r="759" spans="1:12" ht="12.75" customHeight="1" x14ac:dyDescent="0.2">
      <c r="A759" s="1545"/>
      <c r="B759" s="1546"/>
      <c r="C759" s="1550"/>
      <c r="D759" s="1550"/>
      <c r="E759" s="852" t="s">
        <v>255</v>
      </c>
      <c r="F759" s="849">
        <v>3748208</v>
      </c>
      <c r="G759" s="850"/>
      <c r="H759" s="851">
        <f t="shared" ref="H759:H760" si="143">F759</f>
        <v>3748208</v>
      </c>
      <c r="I759" s="69"/>
      <c r="J759" s="69"/>
      <c r="K759" s="69"/>
      <c r="L759" s="69"/>
    </row>
    <row r="760" spans="1:12" ht="12.75" customHeight="1" x14ac:dyDescent="0.2">
      <c r="A760" s="1547"/>
      <c r="B760" s="1548"/>
      <c r="C760" s="1551"/>
      <c r="D760" s="1551"/>
      <c r="E760" s="852" t="s">
        <v>256</v>
      </c>
      <c r="F760" s="849">
        <v>3537676</v>
      </c>
      <c r="G760" s="850"/>
      <c r="H760" s="851">
        <f t="shared" si="143"/>
        <v>3537676</v>
      </c>
      <c r="I760" s="69"/>
      <c r="J760" s="69"/>
      <c r="K760" s="69"/>
      <c r="L760" s="69"/>
    </row>
    <row r="761" spans="1:12" ht="14.25" customHeight="1" x14ac:dyDescent="0.2">
      <c r="A761" s="1543">
        <v>4</v>
      </c>
      <c r="B761" s="1544"/>
      <c r="C761" s="1549" t="s">
        <v>106</v>
      </c>
      <c r="D761" s="853"/>
      <c r="E761" s="358" t="s">
        <v>160</v>
      </c>
      <c r="F761" s="849"/>
      <c r="G761" s="850"/>
      <c r="H761" s="851"/>
      <c r="I761" s="73"/>
      <c r="J761" s="69"/>
      <c r="K761" s="69"/>
      <c r="L761" s="69"/>
    </row>
    <row r="762" spans="1:12" ht="14.25" customHeight="1" x14ac:dyDescent="0.2">
      <c r="A762" s="1545"/>
      <c r="B762" s="1546"/>
      <c r="C762" s="1550"/>
      <c r="D762" s="1549" t="s">
        <v>55</v>
      </c>
      <c r="E762" s="852" t="s">
        <v>254</v>
      </c>
      <c r="F762" s="849">
        <v>0</v>
      </c>
      <c r="G762" s="850"/>
      <c r="H762" s="851">
        <f>F762</f>
        <v>0</v>
      </c>
      <c r="I762" s="69"/>
      <c r="J762" s="69"/>
      <c r="K762" s="69"/>
      <c r="L762" s="69"/>
    </row>
    <row r="763" spans="1:12" ht="14.25" customHeight="1" x14ac:dyDescent="0.2">
      <c r="A763" s="1545"/>
      <c r="B763" s="1546"/>
      <c r="C763" s="1550"/>
      <c r="D763" s="1550"/>
      <c r="E763" s="852" t="s">
        <v>255</v>
      </c>
      <c r="F763" s="849">
        <v>0</v>
      </c>
      <c r="G763" s="850"/>
      <c r="H763" s="851">
        <f>F763</f>
        <v>0</v>
      </c>
      <c r="I763" s="69"/>
      <c r="J763" s="69"/>
      <c r="K763" s="69"/>
      <c r="L763" s="69"/>
    </row>
    <row r="764" spans="1:12" ht="14.25" customHeight="1" x14ac:dyDescent="0.2">
      <c r="A764" s="1545"/>
      <c r="B764" s="1546"/>
      <c r="C764" s="1550"/>
      <c r="D764" s="1551"/>
      <c r="E764" s="852" t="s">
        <v>256</v>
      </c>
      <c r="F764" s="849">
        <v>0</v>
      </c>
      <c r="G764" s="850"/>
      <c r="H764" s="851">
        <f>F764</f>
        <v>0</v>
      </c>
      <c r="I764" s="69"/>
      <c r="J764" s="69"/>
      <c r="K764" s="69"/>
      <c r="L764" s="69"/>
    </row>
    <row r="765" spans="1:12" ht="14.25" customHeight="1" x14ac:dyDescent="0.2">
      <c r="A765" s="1545"/>
      <c r="B765" s="1546"/>
      <c r="C765" s="1550"/>
      <c r="D765" s="1549" t="s">
        <v>54</v>
      </c>
      <c r="E765" s="852" t="s">
        <v>254</v>
      </c>
      <c r="F765" s="849">
        <v>2000000</v>
      </c>
      <c r="G765" s="850"/>
      <c r="H765" s="851">
        <f t="shared" si="141"/>
        <v>2000000</v>
      </c>
      <c r="I765" s="69"/>
      <c r="J765" s="69"/>
      <c r="K765" s="69"/>
      <c r="L765" s="69"/>
    </row>
    <row r="766" spans="1:12" ht="14.25" customHeight="1" x14ac:dyDescent="0.2">
      <c r="A766" s="1545"/>
      <c r="B766" s="1546"/>
      <c r="C766" s="1550"/>
      <c r="D766" s="1550"/>
      <c r="E766" s="852" t="s">
        <v>255</v>
      </c>
      <c r="F766" s="849">
        <v>2000000</v>
      </c>
      <c r="G766" s="850"/>
      <c r="H766" s="851">
        <f t="shared" si="141"/>
        <v>2000000</v>
      </c>
      <c r="I766" s="69"/>
      <c r="J766" s="73"/>
      <c r="K766" s="69"/>
      <c r="L766" s="69"/>
    </row>
    <row r="767" spans="1:12" ht="12.75" customHeight="1" x14ac:dyDescent="0.2">
      <c r="A767" s="1547"/>
      <c r="B767" s="1548"/>
      <c r="C767" s="1551"/>
      <c r="D767" s="1551"/>
      <c r="E767" s="852" t="s">
        <v>256</v>
      </c>
      <c r="F767" s="849">
        <v>0</v>
      </c>
      <c r="G767" s="850"/>
      <c r="H767" s="851">
        <f t="shared" si="141"/>
        <v>0</v>
      </c>
      <c r="I767" s="69"/>
      <c r="J767" s="69"/>
      <c r="K767" s="69"/>
      <c r="L767" s="69"/>
    </row>
    <row r="768" spans="1:12" ht="11.25" customHeight="1" x14ac:dyDescent="0.2">
      <c r="A768" s="1543">
        <v>5</v>
      </c>
      <c r="B768" s="1544"/>
      <c r="C768" s="1549" t="s">
        <v>174</v>
      </c>
      <c r="D768" s="853"/>
      <c r="E768" s="358" t="s">
        <v>172</v>
      </c>
      <c r="F768" s="849"/>
      <c r="G768" s="850"/>
      <c r="H768" s="851"/>
      <c r="I768" s="69"/>
      <c r="J768" s="69"/>
      <c r="K768" s="69"/>
      <c r="L768" s="69"/>
    </row>
    <row r="769" spans="1:12" ht="12.75" customHeight="1" x14ac:dyDescent="0.2">
      <c r="A769" s="1545"/>
      <c r="B769" s="1546"/>
      <c r="C769" s="1550"/>
      <c r="D769" s="1549" t="s">
        <v>55</v>
      </c>
      <c r="E769" s="852" t="s">
        <v>254</v>
      </c>
      <c r="F769" s="849">
        <v>0</v>
      </c>
      <c r="G769" s="850"/>
      <c r="H769" s="851">
        <f t="shared" si="141"/>
        <v>0</v>
      </c>
      <c r="I769" s="69"/>
      <c r="J769" s="69"/>
      <c r="K769" s="69"/>
      <c r="L769" s="69"/>
    </row>
    <row r="770" spans="1:12" ht="12.75" customHeight="1" x14ac:dyDescent="0.2">
      <c r="A770" s="1545"/>
      <c r="B770" s="1546"/>
      <c r="C770" s="1550"/>
      <c r="D770" s="1550"/>
      <c r="E770" s="852" t="s">
        <v>255</v>
      </c>
      <c r="F770" s="849">
        <v>0</v>
      </c>
      <c r="G770" s="850"/>
      <c r="H770" s="851">
        <f t="shared" si="141"/>
        <v>0</v>
      </c>
      <c r="I770" s="69"/>
      <c r="J770" s="73"/>
      <c r="K770" s="69"/>
      <c r="L770" s="69"/>
    </row>
    <row r="771" spans="1:12" ht="12.75" customHeight="1" x14ac:dyDescent="0.2">
      <c r="A771" s="1545"/>
      <c r="B771" s="1546"/>
      <c r="C771" s="1550"/>
      <c r="D771" s="1551"/>
      <c r="E771" s="852" t="s">
        <v>256</v>
      </c>
      <c r="F771" s="849">
        <v>0</v>
      </c>
      <c r="G771" s="850"/>
      <c r="H771" s="851">
        <f t="shared" si="141"/>
        <v>0</v>
      </c>
      <c r="I771" s="69"/>
      <c r="J771" s="69"/>
      <c r="K771" s="69"/>
      <c r="L771" s="69"/>
    </row>
    <row r="772" spans="1:12" ht="14.25" customHeight="1" x14ac:dyDescent="0.2">
      <c r="A772" s="1545"/>
      <c r="B772" s="1546"/>
      <c r="C772" s="1550"/>
      <c r="D772" s="1549" t="s">
        <v>54</v>
      </c>
      <c r="E772" s="852" t="s">
        <v>254</v>
      </c>
      <c r="F772" s="849">
        <v>0</v>
      </c>
      <c r="G772" s="850"/>
      <c r="H772" s="851">
        <f>F772</f>
        <v>0</v>
      </c>
      <c r="I772" s="69"/>
      <c r="J772" s="69"/>
      <c r="K772" s="69"/>
      <c r="L772" s="69"/>
    </row>
    <row r="773" spans="1:12" ht="16.5" customHeight="1" x14ac:dyDescent="0.2">
      <c r="A773" s="1545"/>
      <c r="B773" s="1546"/>
      <c r="C773" s="1550"/>
      <c r="D773" s="1550"/>
      <c r="E773" s="852" t="s">
        <v>255</v>
      </c>
      <c r="F773" s="849">
        <v>0</v>
      </c>
      <c r="G773" s="850"/>
      <c r="H773" s="851">
        <f>F773</f>
        <v>0</v>
      </c>
      <c r="I773" s="69"/>
      <c r="J773" s="69"/>
      <c r="K773" s="69"/>
      <c r="L773" s="69"/>
    </row>
    <row r="774" spans="1:12" s="30" customFormat="1" ht="14.25" customHeight="1" x14ac:dyDescent="0.2">
      <c r="A774" s="1547"/>
      <c r="B774" s="1548"/>
      <c r="C774" s="1551"/>
      <c r="D774" s="1551"/>
      <c r="E774" s="852" t="s">
        <v>256</v>
      </c>
      <c r="F774" s="849">
        <v>0</v>
      </c>
      <c r="G774" s="850"/>
      <c r="H774" s="851">
        <f>F774</f>
        <v>0</v>
      </c>
      <c r="I774" s="74"/>
      <c r="J774" s="74"/>
      <c r="K774" s="72"/>
      <c r="L774" s="74"/>
    </row>
    <row r="775" spans="1:12" s="30" customFormat="1" ht="14.25" customHeight="1" x14ac:dyDescent="0.2">
      <c r="A775" s="1543">
        <v>6</v>
      </c>
      <c r="B775" s="1544"/>
      <c r="C775" s="1549" t="s">
        <v>171</v>
      </c>
      <c r="D775" s="854"/>
      <c r="E775" s="358" t="s">
        <v>173</v>
      </c>
      <c r="F775" s="849"/>
      <c r="G775" s="850"/>
      <c r="H775" s="851"/>
      <c r="I775" s="90"/>
      <c r="J775" s="74"/>
      <c r="K775" s="72"/>
      <c r="L775" s="74"/>
    </row>
    <row r="776" spans="1:12" s="30" customFormat="1" ht="14.25" customHeight="1" x14ac:dyDescent="0.2">
      <c r="A776" s="1545"/>
      <c r="B776" s="1546"/>
      <c r="C776" s="1550"/>
      <c r="D776" s="1550" t="s">
        <v>55</v>
      </c>
      <c r="E776" s="852" t="s">
        <v>254</v>
      </c>
      <c r="F776" s="849">
        <v>0</v>
      </c>
      <c r="G776" s="850"/>
      <c r="H776" s="851">
        <f t="shared" si="141"/>
        <v>0</v>
      </c>
      <c r="I776" s="108"/>
      <c r="J776" s="90"/>
      <c r="K776" s="72"/>
      <c r="L776" s="74"/>
    </row>
    <row r="777" spans="1:12" ht="14.25" customHeight="1" x14ac:dyDescent="0.2">
      <c r="A777" s="1545"/>
      <c r="B777" s="1546"/>
      <c r="C777" s="1550"/>
      <c r="D777" s="1550"/>
      <c r="E777" s="852" t="s">
        <v>255</v>
      </c>
      <c r="F777" s="849">
        <v>0</v>
      </c>
      <c r="G777" s="850"/>
      <c r="H777" s="851">
        <f t="shared" si="141"/>
        <v>0</v>
      </c>
      <c r="I777" s="69"/>
      <c r="J777" s="69"/>
      <c r="K777" s="69"/>
      <c r="L777" s="69"/>
    </row>
    <row r="778" spans="1:12" ht="14.25" customHeight="1" x14ac:dyDescent="0.2">
      <c r="A778" s="1545"/>
      <c r="B778" s="1546"/>
      <c r="C778" s="1550"/>
      <c r="D778" s="1550"/>
      <c r="E778" s="852" t="s">
        <v>256</v>
      </c>
      <c r="F778" s="849">
        <v>0</v>
      </c>
      <c r="G778" s="850"/>
      <c r="H778" s="851">
        <f t="shared" si="141"/>
        <v>0</v>
      </c>
      <c r="I778" s="69"/>
      <c r="J778" s="69"/>
      <c r="K778" s="69"/>
      <c r="L778" s="69"/>
    </row>
    <row r="779" spans="1:12" ht="14.25" customHeight="1" x14ac:dyDescent="0.2">
      <c r="A779" s="1545"/>
      <c r="B779" s="1546"/>
      <c r="C779" s="1550"/>
      <c r="D779" s="1550" t="s">
        <v>54</v>
      </c>
      <c r="E779" s="852" t="s">
        <v>254</v>
      </c>
      <c r="F779" s="849">
        <v>1820713</v>
      </c>
      <c r="G779" s="850"/>
      <c r="H779" s="851">
        <f t="shared" si="141"/>
        <v>1820713</v>
      </c>
      <c r="I779" s="69"/>
      <c r="J779" s="69"/>
      <c r="K779" s="69"/>
      <c r="L779" s="69"/>
    </row>
    <row r="780" spans="1:12" ht="14.25" customHeight="1" x14ac:dyDescent="0.2">
      <c r="A780" s="1545"/>
      <c r="B780" s="1546"/>
      <c r="C780" s="1550"/>
      <c r="D780" s="1550"/>
      <c r="E780" s="852" t="s">
        <v>255</v>
      </c>
      <c r="F780" s="849">
        <v>1820713</v>
      </c>
      <c r="G780" s="850"/>
      <c r="H780" s="851">
        <f t="shared" si="141"/>
        <v>1820713</v>
      </c>
      <c r="I780" s="69"/>
      <c r="J780" s="69"/>
      <c r="K780" s="69"/>
      <c r="L780" s="69"/>
    </row>
    <row r="781" spans="1:12" ht="15" customHeight="1" x14ac:dyDescent="0.2">
      <c r="A781" s="1547"/>
      <c r="B781" s="1548"/>
      <c r="C781" s="1551"/>
      <c r="D781" s="1551"/>
      <c r="E781" s="852" t="s">
        <v>256</v>
      </c>
      <c r="F781" s="849">
        <v>1720725</v>
      </c>
      <c r="G781" s="850"/>
      <c r="H781" s="851">
        <f t="shared" si="141"/>
        <v>1720725</v>
      </c>
      <c r="I781" s="69"/>
      <c r="J781" s="69"/>
      <c r="K781" s="69"/>
      <c r="L781" s="69"/>
    </row>
    <row r="782" spans="1:12" ht="16.5" customHeight="1" x14ac:dyDescent="0.2">
      <c r="A782" s="1543">
        <v>7</v>
      </c>
      <c r="B782" s="1544"/>
      <c r="C782" s="1549" t="s">
        <v>170</v>
      </c>
      <c r="D782" s="853"/>
      <c r="E782" s="358" t="s">
        <v>567</v>
      </c>
      <c r="F782" s="849"/>
      <c r="G782" s="850"/>
      <c r="H782" s="851"/>
      <c r="I782" s="69"/>
      <c r="J782" s="69"/>
      <c r="K782" s="69"/>
      <c r="L782" s="69"/>
    </row>
    <row r="783" spans="1:12" ht="12.75" customHeight="1" x14ac:dyDescent="0.2">
      <c r="A783" s="1545"/>
      <c r="B783" s="1546"/>
      <c r="C783" s="1550"/>
      <c r="D783" s="1549" t="s">
        <v>55</v>
      </c>
      <c r="E783" s="852" t="s">
        <v>254</v>
      </c>
      <c r="F783" s="849">
        <v>0</v>
      </c>
      <c r="G783" s="850"/>
      <c r="H783" s="851">
        <f t="shared" si="141"/>
        <v>0</v>
      </c>
      <c r="I783" s="69"/>
      <c r="J783" s="69"/>
      <c r="K783" s="69"/>
      <c r="L783" s="69"/>
    </row>
    <row r="784" spans="1:12" ht="12.75" customHeight="1" x14ac:dyDescent="0.2">
      <c r="A784" s="1545"/>
      <c r="B784" s="1546"/>
      <c r="C784" s="1550"/>
      <c r="D784" s="1550"/>
      <c r="E784" s="852" t="s">
        <v>255</v>
      </c>
      <c r="F784" s="849">
        <v>0</v>
      </c>
      <c r="G784" s="850"/>
      <c r="H784" s="851">
        <f t="shared" si="141"/>
        <v>0</v>
      </c>
      <c r="I784" s="69"/>
      <c r="J784" s="69"/>
      <c r="K784" s="69"/>
      <c r="L784" s="69"/>
    </row>
    <row r="785" spans="1:12" s="10" customFormat="1" ht="12.75" customHeight="1" x14ac:dyDescent="0.2">
      <c r="A785" s="1545"/>
      <c r="B785" s="1546"/>
      <c r="C785" s="1550"/>
      <c r="D785" s="1551"/>
      <c r="E785" s="852" t="s">
        <v>256</v>
      </c>
      <c r="F785" s="849">
        <v>0</v>
      </c>
      <c r="G785" s="850"/>
      <c r="H785" s="851">
        <f t="shared" si="141"/>
        <v>0</v>
      </c>
      <c r="I785" s="72"/>
      <c r="J785" s="72"/>
      <c r="K785" s="72"/>
      <c r="L785" s="72"/>
    </row>
    <row r="786" spans="1:12" ht="12.75" customHeight="1" x14ac:dyDescent="0.2">
      <c r="A786" s="1545"/>
      <c r="B786" s="1546"/>
      <c r="C786" s="1550"/>
      <c r="D786" s="1549" t="s">
        <v>54</v>
      </c>
      <c r="E786" s="852" t="s">
        <v>254</v>
      </c>
      <c r="F786" s="849">
        <v>0</v>
      </c>
      <c r="G786" s="850"/>
      <c r="H786" s="851">
        <f t="shared" si="141"/>
        <v>0</v>
      </c>
      <c r="I786" s="69"/>
      <c r="J786" s="69"/>
      <c r="K786" s="69"/>
      <c r="L786" s="69"/>
    </row>
    <row r="787" spans="1:12" s="10" customFormat="1" ht="12.75" customHeight="1" x14ac:dyDescent="0.2">
      <c r="A787" s="1545"/>
      <c r="B787" s="1546"/>
      <c r="C787" s="1550"/>
      <c r="D787" s="1550"/>
      <c r="E787" s="852" t="s">
        <v>255</v>
      </c>
      <c r="F787" s="849">
        <v>0</v>
      </c>
      <c r="G787" s="850"/>
      <c r="H787" s="851">
        <f t="shared" si="141"/>
        <v>0</v>
      </c>
      <c r="I787" s="72"/>
      <c r="J787" s="72"/>
      <c r="K787" s="72"/>
      <c r="L787" s="72"/>
    </row>
    <row r="788" spans="1:12" ht="15.75" customHeight="1" x14ac:dyDescent="0.2">
      <c r="A788" s="1547"/>
      <c r="B788" s="1548"/>
      <c r="C788" s="1551"/>
      <c r="D788" s="1551"/>
      <c r="E788" s="852" t="s">
        <v>256</v>
      </c>
      <c r="F788" s="849">
        <v>0</v>
      </c>
      <c r="G788" s="850"/>
      <c r="H788" s="851">
        <f>F788</f>
        <v>0</v>
      </c>
      <c r="I788" s="69"/>
      <c r="J788" s="69"/>
      <c r="K788" s="69"/>
      <c r="L788" s="69"/>
    </row>
    <row r="789" spans="1:12" ht="17.25" customHeight="1" x14ac:dyDescent="0.2">
      <c r="A789" s="1543">
        <v>8</v>
      </c>
      <c r="B789" s="1544"/>
      <c r="C789" s="1549" t="s">
        <v>108</v>
      </c>
      <c r="D789" s="853"/>
      <c r="E789" s="358" t="s">
        <v>155</v>
      </c>
      <c r="F789" s="849"/>
      <c r="G789" s="850"/>
      <c r="H789" s="851"/>
      <c r="I789" s="69"/>
      <c r="J789" s="69"/>
      <c r="K789" s="69"/>
      <c r="L789" s="69"/>
    </row>
    <row r="790" spans="1:12" ht="12" customHeight="1" x14ac:dyDescent="0.2">
      <c r="A790" s="1545"/>
      <c r="B790" s="1546"/>
      <c r="C790" s="1550"/>
      <c r="D790" s="1549" t="s">
        <v>55</v>
      </c>
      <c r="E790" s="852" t="s">
        <v>254</v>
      </c>
      <c r="F790" s="855">
        <v>500000</v>
      </c>
      <c r="G790" s="850"/>
      <c r="H790" s="851"/>
      <c r="I790" s="69"/>
      <c r="J790" s="69"/>
      <c r="K790" s="69"/>
      <c r="L790" s="69"/>
    </row>
    <row r="791" spans="1:12" ht="12" customHeight="1" x14ac:dyDescent="0.2">
      <c r="A791" s="1545"/>
      <c r="B791" s="1546"/>
      <c r="C791" s="1550"/>
      <c r="D791" s="1550"/>
      <c r="E791" s="852" t="s">
        <v>255</v>
      </c>
      <c r="F791" s="855">
        <v>1000000</v>
      </c>
      <c r="G791" s="850"/>
      <c r="H791" s="851"/>
      <c r="I791" s="69"/>
      <c r="J791" s="69"/>
      <c r="K791" s="69"/>
      <c r="L791" s="69"/>
    </row>
    <row r="792" spans="1:12" ht="12" customHeight="1" x14ac:dyDescent="0.2">
      <c r="A792" s="1545"/>
      <c r="B792" s="1546"/>
      <c r="C792" s="1550"/>
      <c r="D792" s="1551"/>
      <c r="E792" s="852" t="s">
        <v>256</v>
      </c>
      <c r="F792" s="855">
        <v>868161</v>
      </c>
      <c r="G792" s="850"/>
      <c r="H792" s="851"/>
      <c r="I792" s="69"/>
      <c r="J792" s="69"/>
      <c r="K792" s="69"/>
      <c r="L792" s="69"/>
    </row>
    <row r="793" spans="1:12" ht="15.75" customHeight="1" x14ac:dyDescent="0.2">
      <c r="A793" s="1545"/>
      <c r="B793" s="1546"/>
      <c r="C793" s="1550"/>
      <c r="D793" s="1549" t="s">
        <v>54</v>
      </c>
      <c r="E793" s="852" t="s">
        <v>254</v>
      </c>
      <c r="F793" s="849">
        <v>0</v>
      </c>
      <c r="G793" s="850"/>
      <c r="H793" s="851">
        <f>F793</f>
        <v>0</v>
      </c>
      <c r="I793" s="69"/>
      <c r="J793" s="69"/>
      <c r="K793" s="69"/>
      <c r="L793" s="69"/>
    </row>
    <row r="794" spans="1:12" ht="16.5" customHeight="1" x14ac:dyDescent="0.2">
      <c r="A794" s="1545"/>
      <c r="B794" s="1546"/>
      <c r="C794" s="1550"/>
      <c r="D794" s="1550"/>
      <c r="E794" s="852" t="s">
        <v>255</v>
      </c>
      <c r="F794" s="849">
        <v>0</v>
      </c>
      <c r="G794" s="850"/>
      <c r="H794" s="851">
        <f>F794</f>
        <v>0</v>
      </c>
      <c r="I794" s="69"/>
      <c r="J794" s="69"/>
      <c r="K794" s="69"/>
      <c r="L794" s="69"/>
    </row>
    <row r="795" spans="1:12" ht="14.25" customHeight="1" x14ac:dyDescent="0.2">
      <c r="A795" s="1547"/>
      <c r="B795" s="1548"/>
      <c r="C795" s="1551"/>
      <c r="D795" s="1551"/>
      <c r="E795" s="852" t="s">
        <v>256</v>
      </c>
      <c r="F795" s="849">
        <v>0</v>
      </c>
      <c r="G795" s="850"/>
      <c r="H795" s="851">
        <f>F795</f>
        <v>0</v>
      </c>
      <c r="I795" s="69"/>
      <c r="J795" s="69"/>
      <c r="K795" s="69"/>
      <c r="L795" s="69"/>
    </row>
    <row r="796" spans="1:12" s="26" customFormat="1" ht="13.5" customHeight="1" x14ac:dyDescent="0.2">
      <c r="A796" s="1543">
        <v>9</v>
      </c>
      <c r="B796" s="1544"/>
      <c r="C796" s="1549" t="s">
        <v>643</v>
      </c>
      <c r="D796" s="853"/>
      <c r="E796" s="358" t="s">
        <v>644</v>
      </c>
      <c r="F796" s="849"/>
      <c r="G796" s="850"/>
      <c r="H796" s="851"/>
      <c r="I796" s="71"/>
      <c r="J796" s="71"/>
      <c r="K796" s="71"/>
      <c r="L796" s="71"/>
    </row>
    <row r="797" spans="1:12" s="26" customFormat="1" ht="13.5" customHeight="1" x14ac:dyDescent="0.2">
      <c r="A797" s="1545"/>
      <c r="B797" s="1546"/>
      <c r="C797" s="1550"/>
      <c r="D797" s="1549" t="s">
        <v>55</v>
      </c>
      <c r="E797" s="852" t="s">
        <v>254</v>
      </c>
      <c r="F797" s="849">
        <v>0</v>
      </c>
      <c r="G797" s="850"/>
      <c r="H797" s="851">
        <f t="shared" si="141"/>
        <v>0</v>
      </c>
      <c r="I797" s="71"/>
      <c r="J797" s="71"/>
      <c r="K797" s="71"/>
      <c r="L797" s="71"/>
    </row>
    <row r="798" spans="1:12" s="26" customFormat="1" ht="12.75" customHeight="1" x14ac:dyDescent="0.2">
      <c r="A798" s="1545"/>
      <c r="B798" s="1546"/>
      <c r="C798" s="1550"/>
      <c r="D798" s="1550"/>
      <c r="E798" s="852" t="s">
        <v>255</v>
      </c>
      <c r="F798" s="849">
        <v>0</v>
      </c>
      <c r="G798" s="850"/>
      <c r="H798" s="851">
        <f t="shared" si="141"/>
        <v>0</v>
      </c>
      <c r="I798" s="71"/>
      <c r="J798" s="71"/>
      <c r="K798" s="71"/>
      <c r="L798" s="71"/>
    </row>
    <row r="799" spans="1:12" ht="12" customHeight="1" x14ac:dyDescent="0.2">
      <c r="A799" s="1545"/>
      <c r="B799" s="1546"/>
      <c r="C799" s="1550"/>
      <c r="D799" s="1551"/>
      <c r="E799" s="852" t="s">
        <v>256</v>
      </c>
      <c r="F799" s="849">
        <v>0</v>
      </c>
      <c r="G799" s="850"/>
      <c r="H799" s="851">
        <f t="shared" si="141"/>
        <v>0</v>
      </c>
    </row>
    <row r="800" spans="1:12" s="35" customFormat="1" ht="14.25" customHeight="1" x14ac:dyDescent="0.2">
      <c r="A800" s="1545"/>
      <c r="B800" s="1546"/>
      <c r="C800" s="1550"/>
      <c r="D800" s="1549" t="s">
        <v>54</v>
      </c>
      <c r="E800" s="852" t="s">
        <v>254</v>
      </c>
      <c r="F800" s="849">
        <v>0</v>
      </c>
      <c r="G800" s="850"/>
      <c r="H800" s="851">
        <f t="shared" si="141"/>
        <v>0</v>
      </c>
      <c r="I800" s="8"/>
    </row>
    <row r="801" spans="1:9" ht="12" customHeight="1" x14ac:dyDescent="0.2">
      <c r="A801" s="1545"/>
      <c r="B801" s="1546"/>
      <c r="C801" s="1550"/>
      <c r="D801" s="1550"/>
      <c r="E801" s="852" t="s">
        <v>255</v>
      </c>
      <c r="F801" s="849">
        <v>55900</v>
      </c>
      <c r="G801" s="850"/>
      <c r="H801" s="851">
        <f t="shared" si="141"/>
        <v>55900</v>
      </c>
    </row>
    <row r="802" spans="1:9" ht="12" customHeight="1" x14ac:dyDescent="0.2">
      <c r="A802" s="1547"/>
      <c r="B802" s="1548"/>
      <c r="C802" s="1551"/>
      <c r="D802" s="1551"/>
      <c r="E802" s="852" t="s">
        <v>256</v>
      </c>
      <c r="F802" s="849">
        <v>55900</v>
      </c>
      <c r="G802" s="850"/>
      <c r="H802" s="851">
        <f>F802</f>
        <v>55900</v>
      </c>
      <c r="I802" s="38"/>
    </row>
    <row r="803" spans="1:9" ht="12" customHeight="1" x14ac:dyDescent="0.2">
      <c r="A803" s="1543">
        <v>10</v>
      </c>
      <c r="B803" s="1544"/>
      <c r="C803" s="1549" t="s">
        <v>571</v>
      </c>
      <c r="D803" s="853"/>
      <c r="E803" s="358" t="s">
        <v>645</v>
      </c>
      <c r="F803" s="849"/>
      <c r="G803" s="850"/>
      <c r="H803" s="851"/>
      <c r="I803" s="38"/>
    </row>
    <row r="804" spans="1:9" ht="12" customHeight="1" x14ac:dyDescent="0.2">
      <c r="A804" s="1545"/>
      <c r="B804" s="1546"/>
      <c r="C804" s="1550"/>
      <c r="D804" s="1549" t="s">
        <v>55</v>
      </c>
      <c r="E804" s="852" t="s">
        <v>254</v>
      </c>
      <c r="F804" s="849"/>
      <c r="G804" s="850"/>
      <c r="H804" s="851"/>
      <c r="I804" s="38"/>
    </row>
    <row r="805" spans="1:9" ht="12" customHeight="1" x14ac:dyDescent="0.2">
      <c r="A805" s="1545"/>
      <c r="B805" s="1546"/>
      <c r="C805" s="1550"/>
      <c r="D805" s="1550"/>
      <c r="E805" s="852" t="s">
        <v>255</v>
      </c>
      <c r="F805" s="849"/>
      <c r="G805" s="850"/>
      <c r="H805" s="851"/>
      <c r="I805" s="38"/>
    </row>
    <row r="806" spans="1:9" ht="12" customHeight="1" x14ac:dyDescent="0.2">
      <c r="A806" s="1545"/>
      <c r="B806" s="1546"/>
      <c r="C806" s="1550"/>
      <c r="D806" s="1551"/>
      <c r="E806" s="852" t="s">
        <v>256</v>
      </c>
      <c r="F806" s="849"/>
      <c r="G806" s="850"/>
      <c r="H806" s="851"/>
      <c r="I806" s="38"/>
    </row>
    <row r="807" spans="1:9" ht="12" customHeight="1" x14ac:dyDescent="0.2">
      <c r="A807" s="1545"/>
      <c r="B807" s="1546"/>
      <c r="C807" s="1550"/>
      <c r="D807" s="1549" t="s">
        <v>54</v>
      </c>
      <c r="E807" s="852" t="s">
        <v>254</v>
      </c>
      <c r="F807" s="849">
        <v>0</v>
      </c>
      <c r="G807" s="850"/>
      <c r="H807" s="851">
        <f>F807</f>
        <v>0</v>
      </c>
      <c r="I807" s="38"/>
    </row>
    <row r="808" spans="1:9" ht="12" customHeight="1" x14ac:dyDescent="0.2">
      <c r="A808" s="1545"/>
      <c r="B808" s="1546"/>
      <c r="C808" s="1550"/>
      <c r="D808" s="1550"/>
      <c r="E808" s="852" t="s">
        <v>255</v>
      </c>
      <c r="F808" s="849">
        <v>63540</v>
      </c>
      <c r="G808" s="850"/>
      <c r="H808" s="851">
        <f t="shared" ref="H808:H809" si="144">F808</f>
        <v>63540</v>
      </c>
      <c r="I808" s="38"/>
    </row>
    <row r="809" spans="1:9" ht="12" customHeight="1" x14ac:dyDescent="0.2">
      <c r="A809" s="1545"/>
      <c r="B809" s="1546"/>
      <c r="C809" s="1550"/>
      <c r="D809" s="1551"/>
      <c r="E809" s="852" t="s">
        <v>256</v>
      </c>
      <c r="F809" s="849">
        <v>63540</v>
      </c>
      <c r="G809" s="850"/>
      <c r="H809" s="851">
        <f t="shared" si="144"/>
        <v>63540</v>
      </c>
      <c r="I809" s="38"/>
    </row>
    <row r="810" spans="1:9" ht="12" customHeight="1" x14ac:dyDescent="0.2">
      <c r="A810" s="1543">
        <v>11</v>
      </c>
      <c r="B810" s="1544"/>
      <c r="C810" s="1549" t="s">
        <v>247</v>
      </c>
      <c r="D810" s="853"/>
      <c r="E810" s="358" t="s">
        <v>142</v>
      </c>
      <c r="F810" s="849"/>
      <c r="G810" s="850"/>
      <c r="H810" s="851"/>
    </row>
    <row r="811" spans="1:9" ht="12" customHeight="1" x14ac:dyDescent="0.2">
      <c r="A811" s="1545"/>
      <c r="B811" s="1546"/>
      <c r="C811" s="1550"/>
      <c r="D811" s="1549" t="s">
        <v>55</v>
      </c>
      <c r="E811" s="852" t="s">
        <v>254</v>
      </c>
      <c r="F811" s="849">
        <v>4000000</v>
      </c>
      <c r="G811" s="850"/>
      <c r="H811" s="851">
        <f t="shared" si="141"/>
        <v>4000000</v>
      </c>
    </row>
    <row r="812" spans="1:9" ht="12" customHeight="1" x14ac:dyDescent="0.2">
      <c r="A812" s="1545"/>
      <c r="B812" s="1546"/>
      <c r="C812" s="1550"/>
      <c r="D812" s="1550"/>
      <c r="E812" s="852" t="s">
        <v>255</v>
      </c>
      <c r="F812" s="849">
        <v>4000000</v>
      </c>
      <c r="G812" s="850"/>
      <c r="H812" s="851">
        <f t="shared" si="141"/>
        <v>4000000</v>
      </c>
    </row>
    <row r="813" spans="1:9" ht="12" customHeight="1" x14ac:dyDescent="0.2">
      <c r="A813" s="1545"/>
      <c r="B813" s="1546"/>
      <c r="C813" s="1550"/>
      <c r="D813" s="1551"/>
      <c r="E813" s="852" t="s">
        <v>256</v>
      </c>
      <c r="F813" s="849">
        <v>2235327</v>
      </c>
      <c r="G813" s="850"/>
      <c r="H813" s="851">
        <f t="shared" si="141"/>
        <v>2235327</v>
      </c>
    </row>
    <row r="814" spans="1:9" ht="12" customHeight="1" x14ac:dyDescent="0.2">
      <c r="A814" s="1545"/>
      <c r="B814" s="1546"/>
      <c r="C814" s="1550"/>
      <c r="D814" s="1549" t="s">
        <v>54</v>
      </c>
      <c r="E814" s="852" t="s">
        <v>254</v>
      </c>
      <c r="F814" s="849">
        <v>0</v>
      </c>
      <c r="G814" s="850"/>
      <c r="H814" s="851">
        <f t="shared" si="141"/>
        <v>0</v>
      </c>
    </row>
    <row r="815" spans="1:9" ht="12" customHeight="1" x14ac:dyDescent="0.2">
      <c r="A815" s="1545"/>
      <c r="B815" s="1546"/>
      <c r="C815" s="1550"/>
      <c r="D815" s="1550"/>
      <c r="E815" s="852" t="s">
        <v>255</v>
      </c>
      <c r="F815" s="849">
        <v>0</v>
      </c>
      <c r="G815" s="850"/>
      <c r="H815" s="851">
        <f t="shared" si="141"/>
        <v>0</v>
      </c>
    </row>
    <row r="816" spans="1:9" ht="12" customHeight="1" x14ac:dyDescent="0.2">
      <c r="A816" s="1547"/>
      <c r="B816" s="1548"/>
      <c r="C816" s="1551"/>
      <c r="D816" s="1551"/>
      <c r="E816" s="852" t="s">
        <v>256</v>
      </c>
      <c r="F816" s="849">
        <v>0</v>
      </c>
      <c r="G816" s="850"/>
      <c r="H816" s="851">
        <f>F816</f>
        <v>0</v>
      </c>
    </row>
    <row r="817" spans="1:8" ht="12" customHeight="1" x14ac:dyDescent="0.2">
      <c r="A817" s="1620" t="s">
        <v>110</v>
      </c>
      <c r="B817" s="1620"/>
      <c r="C817" s="1620"/>
      <c r="D817" s="1620"/>
      <c r="E817" s="1620"/>
      <c r="F817" s="856"/>
      <c r="G817" s="847"/>
      <c r="H817" s="847"/>
    </row>
    <row r="818" spans="1:8" ht="12" customHeight="1" x14ac:dyDescent="0.2">
      <c r="A818" s="1527"/>
      <c r="B818" s="1528"/>
      <c r="C818" s="1528"/>
      <c r="D818" s="1529"/>
      <c r="E818" s="848" t="s">
        <v>254</v>
      </c>
      <c r="F818" s="856"/>
      <c r="G818" s="847">
        <f>G823+G826</f>
        <v>150000</v>
      </c>
      <c r="H818" s="847">
        <f>G818</f>
        <v>150000</v>
      </c>
    </row>
    <row r="819" spans="1:8" ht="12" customHeight="1" x14ac:dyDescent="0.2">
      <c r="A819" s="1530"/>
      <c r="B819" s="1531"/>
      <c r="C819" s="1531"/>
      <c r="D819" s="1532"/>
      <c r="E819" s="848" t="s">
        <v>255</v>
      </c>
      <c r="F819" s="856"/>
      <c r="G819" s="847">
        <f t="shared" ref="G819:G820" si="145">G824+G827</f>
        <v>3369266</v>
      </c>
      <c r="H819" s="847">
        <f t="shared" ref="H819:H820" si="146">G819</f>
        <v>3369266</v>
      </c>
    </row>
    <row r="820" spans="1:8" ht="12" customHeight="1" x14ac:dyDescent="0.2">
      <c r="A820" s="1533"/>
      <c r="B820" s="1534"/>
      <c r="C820" s="1534"/>
      <c r="D820" s="1535"/>
      <c r="E820" s="848" t="s">
        <v>256</v>
      </c>
      <c r="F820" s="856"/>
      <c r="G820" s="847">
        <f t="shared" si="145"/>
        <v>1823266</v>
      </c>
      <c r="H820" s="847">
        <f t="shared" si="146"/>
        <v>1823266</v>
      </c>
    </row>
    <row r="821" spans="1:8" ht="12" customHeight="1" x14ac:dyDescent="0.2">
      <c r="A821" s="1589">
        <v>1</v>
      </c>
      <c r="B821" s="1591"/>
      <c r="C821" s="1636" t="s">
        <v>642</v>
      </c>
      <c r="D821" s="1636"/>
      <c r="E821" s="1621" t="s">
        <v>182</v>
      </c>
      <c r="F821" s="115"/>
      <c r="G821" s="115"/>
      <c r="H821" s="115"/>
    </row>
    <row r="822" spans="1:8" ht="12" customHeight="1" x14ac:dyDescent="0.2">
      <c r="A822" s="1592"/>
      <c r="B822" s="1594"/>
      <c r="C822" s="1638"/>
      <c r="D822" s="1637"/>
      <c r="E822" s="1621"/>
      <c r="F822" s="115"/>
      <c r="G822" s="115"/>
      <c r="H822" s="115"/>
    </row>
    <row r="823" spans="1:8" ht="12" customHeight="1" x14ac:dyDescent="0.2">
      <c r="A823" s="1592"/>
      <c r="B823" s="1594"/>
      <c r="C823" s="1638"/>
      <c r="D823" s="1636" t="s">
        <v>54</v>
      </c>
      <c r="E823" s="846" t="s">
        <v>254</v>
      </c>
      <c r="F823" s="115"/>
      <c r="G823" s="329">
        <v>0</v>
      </c>
      <c r="H823" s="115">
        <f t="shared" ref="H823:H828" si="147">G823</f>
        <v>0</v>
      </c>
    </row>
    <row r="824" spans="1:8" ht="12" customHeight="1" x14ac:dyDescent="0.2">
      <c r="A824" s="1592"/>
      <c r="B824" s="1594"/>
      <c r="C824" s="1638"/>
      <c r="D824" s="1638"/>
      <c r="E824" s="846" t="s">
        <v>255</v>
      </c>
      <c r="F824" s="115"/>
      <c r="G824" s="329">
        <v>0</v>
      </c>
      <c r="H824" s="115">
        <f t="shared" si="147"/>
        <v>0</v>
      </c>
    </row>
    <row r="825" spans="1:8" ht="12" customHeight="1" x14ac:dyDescent="0.2">
      <c r="A825" s="1592"/>
      <c r="B825" s="1594"/>
      <c r="C825" s="1638"/>
      <c r="D825" s="1637"/>
      <c r="E825" s="846" t="s">
        <v>256</v>
      </c>
      <c r="F825" s="115"/>
      <c r="G825" s="329">
        <v>0</v>
      </c>
      <c r="H825" s="115">
        <f t="shared" si="147"/>
        <v>0</v>
      </c>
    </row>
    <row r="826" spans="1:8" ht="12" customHeight="1" x14ac:dyDescent="0.2">
      <c r="A826" s="1592"/>
      <c r="B826" s="1594"/>
      <c r="C826" s="1638"/>
      <c r="D826" s="1636" t="s">
        <v>55</v>
      </c>
      <c r="E826" s="846" t="s">
        <v>254</v>
      </c>
      <c r="F826" s="115"/>
      <c r="G826" s="329">
        <v>150000</v>
      </c>
      <c r="H826" s="115">
        <f t="shared" si="147"/>
        <v>150000</v>
      </c>
    </row>
    <row r="827" spans="1:8" ht="12" customHeight="1" x14ac:dyDescent="0.2">
      <c r="A827" s="1592"/>
      <c r="B827" s="1594"/>
      <c r="C827" s="1638"/>
      <c r="D827" s="1638"/>
      <c r="E827" s="846" t="s">
        <v>255</v>
      </c>
      <c r="F827" s="115"/>
      <c r="G827" s="329">
        <v>3369266</v>
      </c>
      <c r="H827" s="115">
        <f t="shared" si="147"/>
        <v>3369266</v>
      </c>
    </row>
    <row r="828" spans="1:8" ht="12" customHeight="1" x14ac:dyDescent="0.2">
      <c r="A828" s="1595"/>
      <c r="B828" s="1597"/>
      <c r="C828" s="1637"/>
      <c r="D828" s="1637"/>
      <c r="E828" s="846" t="s">
        <v>256</v>
      </c>
      <c r="F828" s="115"/>
      <c r="G828" s="329">
        <v>1823266</v>
      </c>
      <c r="H828" s="115">
        <f t="shared" si="147"/>
        <v>1823266</v>
      </c>
    </row>
    <row r="829" spans="1:8" ht="12" customHeight="1" x14ac:dyDescent="0.2">
      <c r="A829" s="1620" t="s">
        <v>111</v>
      </c>
      <c r="B829" s="1620"/>
      <c r="C829" s="1620"/>
      <c r="D829" s="1620"/>
      <c r="E829" s="1620"/>
      <c r="F829" s="847"/>
      <c r="G829" s="847"/>
      <c r="H829" s="847">
        <v>0</v>
      </c>
    </row>
    <row r="830" spans="1:8" ht="12" customHeight="1" x14ac:dyDescent="0.2">
      <c r="A830" s="1178"/>
      <c r="B830" s="1178"/>
      <c r="C830" s="1178"/>
      <c r="D830" s="1178"/>
      <c r="E830" s="848" t="s">
        <v>254</v>
      </c>
      <c r="F830" s="857">
        <v>0</v>
      </c>
      <c r="G830" s="847"/>
      <c r="H830" s="847">
        <f>F830</f>
        <v>0</v>
      </c>
    </row>
    <row r="831" spans="1:8" ht="12" customHeight="1" x14ac:dyDescent="0.2">
      <c r="A831" s="1178"/>
      <c r="B831" s="1178"/>
      <c r="C831" s="1178"/>
      <c r="D831" s="1178"/>
      <c r="E831" s="848" t="s">
        <v>255</v>
      </c>
      <c r="F831" s="857">
        <v>91197</v>
      </c>
      <c r="G831" s="847"/>
      <c r="H831" s="847">
        <f>F831</f>
        <v>91197</v>
      </c>
    </row>
    <row r="832" spans="1:8" ht="12" customHeight="1" x14ac:dyDescent="0.2">
      <c r="A832" s="1178"/>
      <c r="B832" s="1178"/>
      <c r="C832" s="1178"/>
      <c r="D832" s="1178"/>
      <c r="E832" s="848" t="s">
        <v>256</v>
      </c>
      <c r="F832" s="857">
        <v>91197</v>
      </c>
      <c r="G832" s="847"/>
      <c r="H832" s="847">
        <f>F832</f>
        <v>91197</v>
      </c>
    </row>
    <row r="833" spans="1:8" ht="12" customHeight="1" x14ac:dyDescent="0.2">
      <c r="A833" s="1620" t="s">
        <v>112</v>
      </c>
      <c r="B833" s="1620"/>
      <c r="C833" s="1620"/>
      <c r="D833" s="1620"/>
      <c r="E833" s="1620"/>
      <c r="F833" s="847"/>
      <c r="G833" s="847"/>
      <c r="H833" s="847"/>
    </row>
    <row r="834" spans="1:8" ht="12" customHeight="1" x14ac:dyDescent="0.2">
      <c r="A834" s="858"/>
      <c r="B834" s="858"/>
      <c r="C834" s="858" t="s">
        <v>568</v>
      </c>
      <c r="D834" s="858"/>
      <c r="E834" s="1635"/>
      <c r="F834" s="1635"/>
      <c r="G834" s="1635"/>
      <c r="H834" s="857"/>
    </row>
    <row r="835" spans="1:8" ht="12" customHeight="1" x14ac:dyDescent="0.2">
      <c r="A835" s="858"/>
      <c r="B835" s="858"/>
      <c r="C835" s="858"/>
      <c r="D835" s="858"/>
      <c r="E835" s="848" t="s">
        <v>254</v>
      </c>
      <c r="F835" s="857"/>
      <c r="G835" s="857">
        <v>0</v>
      </c>
      <c r="H835" s="857">
        <f>G835</f>
        <v>0</v>
      </c>
    </row>
    <row r="836" spans="1:8" ht="12" customHeight="1" x14ac:dyDescent="0.2">
      <c r="A836" s="858"/>
      <c r="B836" s="858"/>
      <c r="C836" s="858"/>
      <c r="D836" s="858"/>
      <c r="E836" s="848" t="s">
        <v>255</v>
      </c>
      <c r="F836" s="857"/>
      <c r="G836" s="857">
        <v>5231394</v>
      </c>
      <c r="H836" s="857">
        <f>G836</f>
        <v>5231394</v>
      </c>
    </row>
    <row r="837" spans="1:8" ht="12" customHeight="1" x14ac:dyDescent="0.2">
      <c r="A837" s="858"/>
      <c r="B837" s="858"/>
      <c r="C837" s="858"/>
      <c r="D837" s="858"/>
      <c r="E837" s="848" t="s">
        <v>256</v>
      </c>
      <c r="F837" s="857"/>
      <c r="G837" s="857">
        <v>0</v>
      </c>
      <c r="H837" s="857">
        <f>G837</f>
        <v>0</v>
      </c>
    </row>
    <row r="838" spans="1:8" ht="12" customHeight="1" x14ac:dyDescent="0.2">
      <c r="A838" s="1620" t="s">
        <v>113</v>
      </c>
      <c r="B838" s="1620"/>
      <c r="C838" s="1620"/>
      <c r="D838" s="1620"/>
      <c r="E838" s="1620"/>
      <c r="F838" s="847"/>
      <c r="G838" s="847"/>
      <c r="H838" s="847"/>
    </row>
    <row r="839" spans="1:8" ht="12" customHeight="1" x14ac:dyDescent="0.2">
      <c r="A839" s="1527"/>
      <c r="B839" s="1528"/>
      <c r="C839" s="1529"/>
      <c r="D839" s="1524" t="s">
        <v>54</v>
      </c>
      <c r="E839" s="848" t="s">
        <v>254</v>
      </c>
      <c r="F839" s="847">
        <f t="shared" ref="F839:H841" si="148">F843+F847+F851</f>
        <v>295488846</v>
      </c>
      <c r="G839" s="847">
        <f t="shared" si="148"/>
        <v>0</v>
      </c>
      <c r="H839" s="847">
        <f t="shared" si="148"/>
        <v>295488846</v>
      </c>
    </row>
    <row r="840" spans="1:8" ht="12" customHeight="1" x14ac:dyDescent="0.2">
      <c r="A840" s="1530"/>
      <c r="B840" s="1531"/>
      <c r="C840" s="1532"/>
      <c r="D840" s="1525"/>
      <c r="E840" s="848" t="s">
        <v>255</v>
      </c>
      <c r="F840" s="847">
        <f t="shared" si="148"/>
        <v>359341200</v>
      </c>
      <c r="G840" s="847">
        <f t="shared" si="148"/>
        <v>0</v>
      </c>
      <c r="H840" s="847">
        <f t="shared" si="148"/>
        <v>359341200</v>
      </c>
    </row>
    <row r="841" spans="1:8" ht="12" customHeight="1" x14ac:dyDescent="0.2">
      <c r="A841" s="1533"/>
      <c r="B841" s="1534"/>
      <c r="C841" s="1535"/>
      <c r="D841" s="1526"/>
      <c r="E841" s="848" t="s">
        <v>256</v>
      </c>
      <c r="F841" s="847">
        <f t="shared" si="148"/>
        <v>359047419</v>
      </c>
      <c r="G841" s="847">
        <f>G845+G849+G853</f>
        <v>0</v>
      </c>
      <c r="H841" s="847">
        <f t="shared" si="148"/>
        <v>359047419</v>
      </c>
    </row>
    <row r="842" spans="1:8" ht="12" customHeight="1" x14ac:dyDescent="0.2">
      <c r="A842" s="1716" t="s">
        <v>2</v>
      </c>
      <c r="B842" s="1717"/>
      <c r="C842" s="1521" t="s">
        <v>137</v>
      </c>
      <c r="D842" s="1521" t="s">
        <v>54</v>
      </c>
      <c r="E842" s="1639" t="s">
        <v>197</v>
      </c>
      <c r="F842" s="1639"/>
      <c r="G842" s="1639"/>
      <c r="H842" s="851"/>
    </row>
    <row r="843" spans="1:8" ht="12" customHeight="1" x14ac:dyDescent="0.2">
      <c r="A843" s="1718"/>
      <c r="B843" s="1719"/>
      <c r="C843" s="1522"/>
      <c r="D843" s="1522"/>
      <c r="E843" s="852" t="s">
        <v>254</v>
      </c>
      <c r="F843" s="849">
        <v>100000000</v>
      </c>
      <c r="G843" s="849"/>
      <c r="H843" s="851">
        <f t="shared" ref="H843:H849" si="149">F843+G843</f>
        <v>100000000</v>
      </c>
    </row>
    <row r="844" spans="1:8" ht="12" customHeight="1" x14ac:dyDescent="0.2">
      <c r="A844" s="1718"/>
      <c r="B844" s="1719"/>
      <c r="C844" s="1522"/>
      <c r="D844" s="1522"/>
      <c r="E844" s="852" t="s">
        <v>255</v>
      </c>
      <c r="F844" s="849">
        <v>155000000</v>
      </c>
      <c r="G844" s="849"/>
      <c r="H844" s="851">
        <f t="shared" si="149"/>
        <v>155000000</v>
      </c>
    </row>
    <row r="845" spans="1:8" ht="12" customHeight="1" x14ac:dyDescent="0.2">
      <c r="A845" s="1720"/>
      <c r="B845" s="1721"/>
      <c r="C845" s="1523"/>
      <c r="D845" s="1523"/>
      <c r="E845" s="852" t="s">
        <v>256</v>
      </c>
      <c r="F845" s="849">
        <v>154891094</v>
      </c>
      <c r="G845" s="849"/>
      <c r="H845" s="851">
        <f t="shared" si="149"/>
        <v>154891094</v>
      </c>
    </row>
    <row r="846" spans="1:8" ht="12" customHeight="1" x14ac:dyDescent="0.2">
      <c r="A846" s="1716" t="s">
        <v>3</v>
      </c>
      <c r="B846" s="1717"/>
      <c r="C846" s="1521" t="s">
        <v>137</v>
      </c>
      <c r="D846" s="1521" t="s">
        <v>54</v>
      </c>
      <c r="E846" s="359" t="s">
        <v>569</v>
      </c>
      <c r="F846" s="329"/>
      <c r="G846" s="329"/>
      <c r="H846" s="115"/>
    </row>
    <row r="847" spans="1:8" ht="12" customHeight="1" x14ac:dyDescent="0.2">
      <c r="A847" s="1718"/>
      <c r="B847" s="1719"/>
      <c r="C847" s="1522"/>
      <c r="D847" s="1522"/>
      <c r="E847" s="846" t="s">
        <v>254</v>
      </c>
      <c r="F847" s="329">
        <v>195488846</v>
      </c>
      <c r="G847" s="329">
        <v>0</v>
      </c>
      <c r="H847" s="115">
        <f t="shared" si="149"/>
        <v>195488846</v>
      </c>
    </row>
    <row r="848" spans="1:8" ht="12" customHeight="1" x14ac:dyDescent="0.2">
      <c r="A848" s="1718"/>
      <c r="B848" s="1719"/>
      <c r="C848" s="1522"/>
      <c r="D848" s="1522"/>
      <c r="E848" s="846" t="s">
        <v>255</v>
      </c>
      <c r="F848" s="329">
        <v>195792011</v>
      </c>
      <c r="G848" s="329"/>
      <c r="H848" s="115">
        <f t="shared" si="149"/>
        <v>195792011</v>
      </c>
    </row>
    <row r="849" spans="1:8" ht="12" customHeight="1" x14ac:dyDescent="0.2">
      <c r="A849" s="1720"/>
      <c r="B849" s="1721"/>
      <c r="C849" s="1523"/>
      <c r="D849" s="1523"/>
      <c r="E849" s="846" t="s">
        <v>256</v>
      </c>
      <c r="F849" s="1169">
        <v>195792011</v>
      </c>
      <c r="G849" s="1323">
        <v>0</v>
      </c>
      <c r="H849" s="115">
        <f t="shared" si="149"/>
        <v>195792011</v>
      </c>
    </row>
    <row r="850" spans="1:8" ht="12" customHeight="1" x14ac:dyDescent="0.2">
      <c r="A850" s="1716">
        <v>3</v>
      </c>
      <c r="B850" s="1717"/>
      <c r="C850" s="1521" t="s">
        <v>629</v>
      </c>
      <c r="D850" s="1521" t="s">
        <v>54</v>
      </c>
      <c r="E850" s="1324" t="s">
        <v>198</v>
      </c>
      <c r="F850" s="849"/>
      <c r="G850" s="849"/>
      <c r="H850" s="851"/>
    </row>
    <row r="851" spans="1:8" ht="12" customHeight="1" x14ac:dyDescent="0.2">
      <c r="A851" s="1718"/>
      <c r="B851" s="1719"/>
      <c r="C851" s="1522"/>
      <c r="D851" s="1522"/>
      <c r="E851" s="852" t="s">
        <v>254</v>
      </c>
      <c r="F851" s="849">
        <v>0</v>
      </c>
      <c r="G851" s="849"/>
      <c r="H851" s="851">
        <f>F851+G851</f>
        <v>0</v>
      </c>
    </row>
    <row r="852" spans="1:8" ht="12" customHeight="1" x14ac:dyDescent="0.2">
      <c r="A852" s="1718"/>
      <c r="B852" s="1719"/>
      <c r="C852" s="1522"/>
      <c r="D852" s="1522"/>
      <c r="E852" s="852" t="s">
        <v>255</v>
      </c>
      <c r="F852" s="849">
        <v>8549189</v>
      </c>
      <c r="G852" s="849"/>
      <c r="H852" s="851">
        <f>F852+G852</f>
        <v>8549189</v>
      </c>
    </row>
    <row r="853" spans="1:8" ht="12" customHeight="1" x14ac:dyDescent="0.2">
      <c r="A853" s="1720"/>
      <c r="B853" s="1721"/>
      <c r="C853" s="1523"/>
      <c r="D853" s="1523"/>
      <c r="E853" s="852" t="s">
        <v>256</v>
      </c>
      <c r="F853" s="849">
        <v>8364314</v>
      </c>
      <c r="G853" s="849"/>
      <c r="H853" s="851">
        <f>F853+G853</f>
        <v>8364314</v>
      </c>
    </row>
    <row r="854" spans="1:8" ht="12" customHeight="1" x14ac:dyDescent="0.2">
      <c r="A854" s="1622" t="s">
        <v>224</v>
      </c>
      <c r="B854" s="1622"/>
      <c r="C854" s="1622"/>
      <c r="D854" s="1622"/>
      <c r="E854" s="1622"/>
      <c r="F854" s="1170"/>
      <c r="G854" s="1170"/>
      <c r="H854" s="1170"/>
    </row>
    <row r="855" spans="1:8" ht="12" customHeight="1" x14ac:dyDescent="0.2">
      <c r="A855" s="1325"/>
      <c r="B855" s="1325"/>
      <c r="C855" s="1325"/>
      <c r="D855" s="1325"/>
      <c r="E855" s="1326" t="s">
        <v>254</v>
      </c>
      <c r="F855" s="1170">
        <f>F595+F675+F708+F740+F830+F835+F839</f>
        <v>584350448</v>
      </c>
      <c r="G855" s="1170">
        <f>G675+G708+G818+G835+G839</f>
        <v>222918629</v>
      </c>
      <c r="H855" s="1170">
        <f>F855+G855</f>
        <v>807269077</v>
      </c>
    </row>
    <row r="856" spans="1:8" ht="12" customHeight="1" x14ac:dyDescent="0.2">
      <c r="A856" s="1325"/>
      <c r="B856" s="1325"/>
      <c r="C856" s="1325"/>
      <c r="D856" s="1325"/>
      <c r="E856" s="1326" t="s">
        <v>255</v>
      </c>
      <c r="F856" s="1170">
        <f>F596+F676+F709+F741+F831+F836+F840</f>
        <v>679315275</v>
      </c>
      <c r="G856" s="1170">
        <f>G676+G709+G819+G836+G840</f>
        <v>266314957</v>
      </c>
      <c r="H856" s="1170">
        <f t="shared" ref="H856:H857" si="150">F856+G856</f>
        <v>945630232</v>
      </c>
    </row>
    <row r="857" spans="1:8" ht="12" customHeight="1" x14ac:dyDescent="0.2">
      <c r="A857" s="1325"/>
      <c r="B857" s="1325"/>
      <c r="C857" s="1325"/>
      <c r="D857" s="1325"/>
      <c r="E857" s="1326" t="s">
        <v>256</v>
      </c>
      <c r="F857" s="1170">
        <f>F597+F710+F742+F832+F837+F841</f>
        <v>663623318</v>
      </c>
      <c r="G857" s="1170">
        <f>G677+G710+G820+G837+G841</f>
        <v>232244782</v>
      </c>
      <c r="H857" s="1170">
        <f t="shared" si="150"/>
        <v>895868100</v>
      </c>
    </row>
    <row r="858" spans="1:8" ht="12" customHeight="1" x14ac:dyDescent="0.2">
      <c r="A858" s="1623" t="s">
        <v>201</v>
      </c>
      <c r="B858" s="1623"/>
      <c r="C858" s="1623"/>
      <c r="D858" s="1623"/>
      <c r="E858" s="1623"/>
      <c r="F858" s="1171"/>
      <c r="G858" s="1171"/>
      <c r="H858" s="1171"/>
    </row>
    <row r="859" spans="1:8" ht="12" customHeight="1" x14ac:dyDescent="0.2">
      <c r="A859" s="1327"/>
      <c r="B859" s="1327"/>
      <c r="C859" s="1327"/>
      <c r="D859" s="1327"/>
      <c r="E859" s="1328" t="s">
        <v>254</v>
      </c>
      <c r="F859" s="1171">
        <f t="shared" ref="F859:G861" si="151">F582+F855</f>
        <v>596164448</v>
      </c>
      <c r="G859" s="1171">
        <f t="shared" si="151"/>
        <v>222918629</v>
      </c>
      <c r="H859" s="1171">
        <f>F859+G859</f>
        <v>819083077</v>
      </c>
    </row>
    <row r="860" spans="1:8" ht="12" customHeight="1" x14ac:dyDescent="0.2">
      <c r="A860" s="1327"/>
      <c r="B860" s="1327"/>
      <c r="C860" s="1327"/>
      <c r="D860" s="1327"/>
      <c r="E860" s="1328" t="s">
        <v>255</v>
      </c>
      <c r="F860" s="1171">
        <f t="shared" si="151"/>
        <v>694446895</v>
      </c>
      <c r="G860" s="1171">
        <f t="shared" si="151"/>
        <v>266314957</v>
      </c>
      <c r="H860" s="1171">
        <f t="shared" ref="H860:H861" si="152">F860+G860</f>
        <v>960761852</v>
      </c>
    </row>
    <row r="861" spans="1:8" ht="12" customHeight="1" x14ac:dyDescent="0.2">
      <c r="A861" s="1327"/>
      <c r="B861" s="1327"/>
      <c r="C861" s="1327"/>
      <c r="D861" s="1327"/>
      <c r="E861" s="1328" t="s">
        <v>256</v>
      </c>
      <c r="F861" s="1171">
        <f t="shared" si="151"/>
        <v>675433716</v>
      </c>
      <c r="G861" s="1171">
        <f t="shared" si="151"/>
        <v>232244782</v>
      </c>
      <c r="H861" s="1171">
        <f t="shared" si="152"/>
        <v>907678498</v>
      </c>
    </row>
    <row r="862" spans="1:8" ht="12" customHeight="1" x14ac:dyDescent="0.2">
      <c r="A862" s="1624" t="s">
        <v>114</v>
      </c>
      <c r="B862" s="1624"/>
      <c r="C862" s="1624"/>
      <c r="D862" s="1624"/>
      <c r="E862" s="1624"/>
      <c r="F862" s="1624"/>
      <c r="G862" s="1624"/>
      <c r="H862" s="1624"/>
    </row>
    <row r="863" spans="1:8" ht="12" customHeight="1" x14ac:dyDescent="0.2">
      <c r="A863" s="1329"/>
      <c r="B863" s="1329"/>
      <c r="C863" s="1330" t="s">
        <v>115</v>
      </c>
      <c r="D863" s="1330"/>
      <c r="E863" s="1330"/>
      <c r="F863" s="1172"/>
      <c r="G863" s="1172"/>
      <c r="H863" s="1172"/>
    </row>
    <row r="864" spans="1:8" ht="12" customHeight="1" x14ac:dyDescent="0.2">
      <c r="A864" s="1576" t="s">
        <v>2</v>
      </c>
      <c r="B864" s="1577"/>
      <c r="C864" s="1576" t="s">
        <v>572</v>
      </c>
      <c r="D864" s="1577"/>
      <c r="E864" s="831" t="s">
        <v>11</v>
      </c>
      <c r="F864" s="329"/>
      <c r="G864" s="329"/>
      <c r="H864" s="329"/>
    </row>
    <row r="865" spans="1:8" ht="12" customHeight="1" x14ac:dyDescent="0.2">
      <c r="A865" s="1578"/>
      <c r="B865" s="1579"/>
      <c r="C865" s="1578"/>
      <c r="D865" s="1579"/>
      <c r="E865" s="846" t="s">
        <v>254</v>
      </c>
      <c r="F865" s="329">
        <f>'5 kiadások'!F363</f>
        <v>151696653</v>
      </c>
      <c r="G865" s="329"/>
      <c r="H865" s="329">
        <f>F865</f>
        <v>151696653</v>
      </c>
    </row>
    <row r="866" spans="1:8" ht="12" customHeight="1" x14ac:dyDescent="0.2">
      <c r="A866" s="1578"/>
      <c r="B866" s="1579"/>
      <c r="C866" s="1578"/>
      <c r="D866" s="1579"/>
      <c r="E866" s="846" t="s">
        <v>255</v>
      </c>
      <c r="F866" s="329">
        <f>'5 kiadások'!F364</f>
        <v>168513217</v>
      </c>
      <c r="G866" s="329"/>
      <c r="H866" s="329">
        <f t="shared" ref="H866:H883" si="153">F866</f>
        <v>168513217</v>
      </c>
    </row>
    <row r="867" spans="1:8" ht="12" customHeight="1" x14ac:dyDescent="0.2">
      <c r="A867" s="1580"/>
      <c r="B867" s="1581"/>
      <c r="C867" s="1580"/>
      <c r="D867" s="1581"/>
      <c r="E867" s="846" t="s">
        <v>256</v>
      </c>
      <c r="F867" s="329">
        <f>'5 kiadások'!F365</f>
        <v>139289116</v>
      </c>
      <c r="G867" s="329"/>
      <c r="H867" s="329">
        <f t="shared" si="153"/>
        <v>139289116</v>
      </c>
    </row>
    <row r="868" spans="1:8" ht="12" customHeight="1" x14ac:dyDescent="0.2">
      <c r="A868" s="1576" t="s">
        <v>3</v>
      </c>
      <c r="B868" s="1577"/>
      <c r="C868" s="1576" t="s">
        <v>116</v>
      </c>
      <c r="D868" s="1577"/>
      <c r="E868" s="831" t="s">
        <v>56</v>
      </c>
      <c r="F868" s="329"/>
      <c r="G868" s="329"/>
      <c r="H868" s="329"/>
    </row>
    <row r="869" spans="1:8" ht="12" customHeight="1" x14ac:dyDescent="0.2">
      <c r="A869" s="1578"/>
      <c r="B869" s="1579"/>
      <c r="C869" s="1578"/>
      <c r="D869" s="1579"/>
      <c r="E869" s="846" t="s">
        <v>254</v>
      </c>
      <c r="F869" s="329">
        <f>'5 kiadások'!G363</f>
        <v>28881559.43</v>
      </c>
      <c r="G869" s="329"/>
      <c r="H869" s="329">
        <f t="shared" si="153"/>
        <v>28881559.43</v>
      </c>
    </row>
    <row r="870" spans="1:8" ht="12" customHeight="1" x14ac:dyDescent="0.2">
      <c r="A870" s="1578"/>
      <c r="B870" s="1579"/>
      <c r="C870" s="1578"/>
      <c r="D870" s="1579"/>
      <c r="E870" s="846" t="s">
        <v>255</v>
      </c>
      <c r="F870" s="329">
        <f>'5 kiadások'!G364</f>
        <v>32215966</v>
      </c>
      <c r="G870" s="329"/>
      <c r="H870" s="329">
        <f t="shared" si="153"/>
        <v>32215966</v>
      </c>
    </row>
    <row r="871" spans="1:8" ht="12" customHeight="1" x14ac:dyDescent="0.2">
      <c r="A871" s="1580"/>
      <c r="B871" s="1581"/>
      <c r="C871" s="1580"/>
      <c r="D871" s="1581"/>
      <c r="E871" s="846" t="s">
        <v>256</v>
      </c>
      <c r="F871" s="329">
        <f>'5 kiadások'!G365</f>
        <v>25434764.23</v>
      </c>
      <c r="G871" s="329"/>
      <c r="H871" s="329">
        <f t="shared" si="153"/>
        <v>25434764.23</v>
      </c>
    </row>
    <row r="872" spans="1:8" ht="12" customHeight="1" x14ac:dyDescent="0.2">
      <c r="A872" s="1576" t="s">
        <v>4</v>
      </c>
      <c r="B872" s="1577"/>
      <c r="C872" s="1576" t="s">
        <v>573</v>
      </c>
      <c r="D872" s="1577"/>
      <c r="E872" s="831" t="s">
        <v>12</v>
      </c>
      <c r="F872" s="329"/>
      <c r="G872" s="329"/>
      <c r="H872" s="329"/>
    </row>
    <row r="873" spans="1:8" ht="12" customHeight="1" x14ac:dyDescent="0.2">
      <c r="A873" s="1578"/>
      <c r="B873" s="1579"/>
      <c r="C873" s="1578"/>
      <c r="D873" s="1579"/>
      <c r="E873" s="846" t="s">
        <v>254</v>
      </c>
      <c r="F873" s="329">
        <f>'5 kiadások'!H363</f>
        <v>105517465</v>
      </c>
      <c r="G873" s="329"/>
      <c r="H873" s="329">
        <f t="shared" si="153"/>
        <v>105517465</v>
      </c>
    </row>
    <row r="874" spans="1:8" ht="12" customHeight="1" x14ac:dyDescent="0.2">
      <c r="A874" s="1578"/>
      <c r="B874" s="1579"/>
      <c r="C874" s="1578"/>
      <c r="D874" s="1579"/>
      <c r="E874" s="846" t="s">
        <v>255</v>
      </c>
      <c r="F874" s="329">
        <f>'5 kiadások'!H364</f>
        <v>136138309</v>
      </c>
      <c r="G874" s="329"/>
      <c r="H874" s="329">
        <f t="shared" si="153"/>
        <v>136138309</v>
      </c>
    </row>
    <row r="875" spans="1:8" ht="12" customHeight="1" x14ac:dyDescent="0.2">
      <c r="A875" s="1580"/>
      <c r="B875" s="1581"/>
      <c r="C875" s="1580"/>
      <c r="D875" s="1581"/>
      <c r="E875" s="846" t="s">
        <v>256</v>
      </c>
      <c r="F875" s="329">
        <f>'5 kiadások'!H365</f>
        <v>131520692.76000001</v>
      </c>
      <c r="G875" s="329"/>
      <c r="H875" s="329">
        <f t="shared" si="153"/>
        <v>131520692.76000001</v>
      </c>
    </row>
    <row r="876" spans="1:8" ht="12" customHeight="1" x14ac:dyDescent="0.2">
      <c r="A876" s="1576" t="s">
        <v>5</v>
      </c>
      <c r="B876" s="1577"/>
      <c r="C876" s="1576" t="s">
        <v>574</v>
      </c>
      <c r="D876" s="1577"/>
      <c r="E876" s="831" t="s">
        <v>51</v>
      </c>
      <c r="F876" s="329"/>
      <c r="G876" s="329"/>
      <c r="H876" s="329"/>
    </row>
    <row r="877" spans="1:8" ht="12" customHeight="1" x14ac:dyDescent="0.2">
      <c r="A877" s="1578"/>
      <c r="B877" s="1579"/>
      <c r="C877" s="1578"/>
      <c r="D877" s="1579"/>
      <c r="E877" s="846" t="s">
        <v>254</v>
      </c>
      <c r="F877" s="329">
        <f>'5 kiadások'!I363</f>
        <v>3919000</v>
      </c>
      <c r="G877" s="329"/>
      <c r="H877" s="329">
        <f t="shared" si="153"/>
        <v>3919000</v>
      </c>
    </row>
    <row r="878" spans="1:8" ht="12" customHeight="1" x14ac:dyDescent="0.2">
      <c r="A878" s="1578"/>
      <c r="B878" s="1579"/>
      <c r="C878" s="1578"/>
      <c r="D878" s="1579"/>
      <c r="E878" s="846" t="s">
        <v>255</v>
      </c>
      <c r="F878" s="329">
        <f>'5 kiadások'!I364</f>
        <v>3919000</v>
      </c>
      <c r="G878" s="329"/>
      <c r="H878" s="329">
        <f t="shared" si="153"/>
        <v>3919000</v>
      </c>
    </row>
    <row r="879" spans="1:8" ht="12" customHeight="1" x14ac:dyDescent="0.2">
      <c r="A879" s="1580"/>
      <c r="B879" s="1581"/>
      <c r="C879" s="1580"/>
      <c r="D879" s="1581"/>
      <c r="E879" s="846" t="s">
        <v>256</v>
      </c>
      <c r="F879" s="329">
        <f>'5 kiadások'!I365</f>
        <v>2866121</v>
      </c>
      <c r="G879" s="329"/>
      <c r="H879" s="329">
        <f t="shared" si="153"/>
        <v>2866121</v>
      </c>
    </row>
    <row r="880" spans="1:8" ht="12" customHeight="1" x14ac:dyDescent="0.2">
      <c r="A880" s="1576" t="s">
        <v>6</v>
      </c>
      <c r="B880" s="1577"/>
      <c r="C880" s="1576" t="s">
        <v>117</v>
      </c>
      <c r="D880" s="1577"/>
      <c r="E880" s="841" t="s">
        <v>49</v>
      </c>
      <c r="F880" s="329"/>
      <c r="G880" s="329"/>
      <c r="H880" s="329"/>
    </row>
    <row r="881" spans="1:8" ht="12" customHeight="1" x14ac:dyDescent="0.2">
      <c r="A881" s="1578"/>
      <c r="B881" s="1579"/>
      <c r="C881" s="1578"/>
      <c r="D881" s="1579"/>
      <c r="E881" s="846" t="s">
        <v>254</v>
      </c>
      <c r="F881" s="849">
        <f>'5 kiadások'!J334+'5 kiadások'!K334+'5 kiadások'!L334</f>
        <v>10660924</v>
      </c>
      <c r="G881" s="329"/>
      <c r="H881" s="329">
        <f t="shared" si="153"/>
        <v>10660924</v>
      </c>
    </row>
    <row r="882" spans="1:8" ht="12" customHeight="1" x14ac:dyDescent="0.2">
      <c r="A882" s="1578"/>
      <c r="B882" s="1579"/>
      <c r="C882" s="1578"/>
      <c r="D882" s="1579"/>
      <c r="E882" s="846" t="s">
        <v>255</v>
      </c>
      <c r="F882" s="849">
        <f>'5 kiadások'!J335+'5 kiadások'!K335+'5 kiadások'!L335</f>
        <v>13846580</v>
      </c>
      <c r="G882" s="329"/>
      <c r="H882" s="329">
        <f t="shared" si="153"/>
        <v>13846580</v>
      </c>
    </row>
    <row r="883" spans="1:8" ht="12" customHeight="1" x14ac:dyDescent="0.2">
      <c r="A883" s="1580"/>
      <c r="B883" s="1581"/>
      <c r="C883" s="1580"/>
      <c r="D883" s="1581"/>
      <c r="E883" s="846" t="s">
        <v>256</v>
      </c>
      <c r="F883" s="849">
        <f>'5 kiadások'!J336+'5 kiadások'!K336+'5 kiadások'!L336</f>
        <v>4517856</v>
      </c>
      <c r="G883" s="329"/>
      <c r="H883" s="329">
        <f t="shared" si="153"/>
        <v>4517856</v>
      </c>
    </row>
    <row r="884" spans="1:8" ht="12" customHeight="1" x14ac:dyDescent="0.2">
      <c r="A884" s="1625" t="s">
        <v>61</v>
      </c>
      <c r="B884" s="1625"/>
      <c r="C884" s="1625"/>
      <c r="D884" s="1625"/>
      <c r="E884" s="1625"/>
      <c r="F884" s="847"/>
      <c r="G884" s="847"/>
      <c r="H884" s="847"/>
    </row>
    <row r="885" spans="1:8" ht="12" customHeight="1" x14ac:dyDescent="0.2">
      <c r="A885" s="1626"/>
      <c r="B885" s="1627"/>
      <c r="C885" s="1627"/>
      <c r="D885" s="1628"/>
      <c r="E885" s="848" t="s">
        <v>254</v>
      </c>
      <c r="F885" s="847">
        <f>F865+F869+F873+F877+F881</f>
        <v>300675601.43000001</v>
      </c>
      <c r="G885" s="847"/>
      <c r="H885" s="847">
        <f>F885</f>
        <v>300675601.43000001</v>
      </c>
    </row>
    <row r="886" spans="1:8" ht="12" customHeight="1" x14ac:dyDescent="0.2">
      <c r="A886" s="1629"/>
      <c r="B886" s="1630"/>
      <c r="C886" s="1630"/>
      <c r="D886" s="1631"/>
      <c r="E886" s="848" t="s">
        <v>255</v>
      </c>
      <c r="F886" s="847">
        <f>F866+F870+F874+F878+F882</f>
        <v>354633072</v>
      </c>
      <c r="G886" s="847"/>
      <c r="H886" s="847">
        <f>F886</f>
        <v>354633072</v>
      </c>
    </row>
    <row r="887" spans="1:8" ht="12" customHeight="1" x14ac:dyDescent="0.2">
      <c r="A887" s="1632"/>
      <c r="B887" s="1633"/>
      <c r="C887" s="1633"/>
      <c r="D887" s="1634"/>
      <c r="E887" s="848" t="s">
        <v>256</v>
      </c>
      <c r="F887" s="847">
        <f>F867+F871+F875+F879+F883</f>
        <v>303628549.99000001</v>
      </c>
      <c r="G887" s="847"/>
      <c r="H887" s="847">
        <f>F887</f>
        <v>303628549.99000001</v>
      </c>
    </row>
    <row r="888" spans="1:8" ht="12" customHeight="1" x14ac:dyDescent="0.2">
      <c r="A888" s="1189"/>
      <c r="B888" s="1189"/>
      <c r="C888" s="1617" t="s">
        <v>118</v>
      </c>
      <c r="D888" s="1617"/>
      <c r="E888" s="1617"/>
      <c r="F888" s="115"/>
      <c r="G888" s="115"/>
      <c r="H888" s="115"/>
    </row>
    <row r="889" spans="1:8" ht="12" customHeight="1" x14ac:dyDescent="0.2">
      <c r="A889" s="1331" t="s">
        <v>2</v>
      </c>
      <c r="B889" s="1331"/>
      <c r="C889" s="1331" t="s">
        <v>119</v>
      </c>
      <c r="D889" s="1331"/>
      <c r="E889" s="1332" t="s">
        <v>22</v>
      </c>
      <c r="F889" s="329"/>
      <c r="G889" s="329"/>
      <c r="H889" s="329"/>
    </row>
    <row r="890" spans="1:8" ht="12" customHeight="1" x14ac:dyDescent="0.2">
      <c r="A890" s="1331"/>
      <c r="B890" s="1331"/>
      <c r="C890" s="1331"/>
      <c r="D890" s="1331"/>
      <c r="E890" s="846" t="s">
        <v>254</v>
      </c>
      <c r="F890" s="329"/>
      <c r="G890" s="329">
        <f>'6 beruházások'!D6</f>
        <v>283681877</v>
      </c>
      <c r="H890" s="329">
        <f>G890</f>
        <v>283681877</v>
      </c>
    </row>
    <row r="891" spans="1:8" ht="12" customHeight="1" x14ac:dyDescent="0.2">
      <c r="A891" s="1331"/>
      <c r="B891" s="1331"/>
      <c r="C891" s="1331"/>
      <c r="D891" s="1331"/>
      <c r="E891" s="846" t="s">
        <v>255</v>
      </c>
      <c r="F891" s="329"/>
      <c r="G891" s="329">
        <f>'6 beruházások'!E6</f>
        <v>287622599.10000002</v>
      </c>
      <c r="H891" s="329">
        <f t="shared" ref="H891:H900" si="154">G891</f>
        <v>287622599.10000002</v>
      </c>
    </row>
    <row r="892" spans="1:8" ht="12" customHeight="1" x14ac:dyDescent="0.2">
      <c r="A892" s="1331"/>
      <c r="B892" s="1331"/>
      <c r="C892" s="1331"/>
      <c r="D892" s="1331"/>
      <c r="E892" s="846" t="s">
        <v>256</v>
      </c>
      <c r="F892" s="329"/>
      <c r="G892" s="329">
        <f>'6 beruházások'!F6</f>
        <v>20155821.07</v>
      </c>
      <c r="H892" s="329">
        <f t="shared" si="154"/>
        <v>20155821.07</v>
      </c>
    </row>
    <row r="893" spans="1:8" ht="12" customHeight="1" x14ac:dyDescent="0.2">
      <c r="A893" s="1331" t="s">
        <v>3</v>
      </c>
      <c r="B893" s="1331"/>
      <c r="C893" s="1331" t="s">
        <v>120</v>
      </c>
      <c r="D893" s="1331"/>
      <c r="E893" s="1332" t="s">
        <v>23</v>
      </c>
      <c r="F893" s="329"/>
      <c r="G893" s="329"/>
      <c r="H893" s="329"/>
    </row>
    <row r="894" spans="1:8" ht="12" customHeight="1" x14ac:dyDescent="0.2">
      <c r="A894" s="1331"/>
      <c r="B894" s="1331"/>
      <c r="C894" s="1331"/>
      <c r="D894" s="1331"/>
      <c r="E894" s="846" t="s">
        <v>254</v>
      </c>
      <c r="F894" s="329"/>
      <c r="G894" s="329">
        <f>'6 beruházások'!D55</f>
        <v>134725598</v>
      </c>
      <c r="H894" s="329">
        <f t="shared" si="154"/>
        <v>134725598</v>
      </c>
    </row>
    <row r="895" spans="1:8" ht="12" customHeight="1" x14ac:dyDescent="0.2">
      <c r="A895" s="1331"/>
      <c r="B895" s="1331"/>
      <c r="C895" s="1331"/>
      <c r="D895" s="1331"/>
      <c r="E895" s="846" t="s">
        <v>255</v>
      </c>
      <c r="F895" s="329"/>
      <c r="G895" s="329">
        <f>'6 beruházások'!E55</f>
        <v>149725598</v>
      </c>
      <c r="H895" s="329">
        <f t="shared" si="154"/>
        <v>149725598</v>
      </c>
    </row>
    <row r="896" spans="1:8" ht="12" customHeight="1" x14ac:dyDescent="0.2">
      <c r="A896" s="1331"/>
      <c r="B896" s="1331"/>
      <c r="C896" s="1331"/>
      <c r="D896" s="1331"/>
      <c r="E896" s="846" t="s">
        <v>256</v>
      </c>
      <c r="F896" s="329"/>
      <c r="G896" s="329">
        <f>'6 beruházások'!F55</f>
        <v>126795070</v>
      </c>
      <c r="H896" s="329">
        <f t="shared" si="154"/>
        <v>126795070</v>
      </c>
    </row>
    <row r="897" spans="1:8" ht="12" customHeight="1" x14ac:dyDescent="0.2">
      <c r="A897" s="1331" t="s">
        <v>4</v>
      </c>
      <c r="B897" s="1331"/>
      <c r="C897" s="1331" t="s">
        <v>121</v>
      </c>
      <c r="D897" s="1331"/>
      <c r="E897" s="1332" t="s">
        <v>27</v>
      </c>
      <c r="F897" s="329"/>
      <c r="G897" s="329"/>
      <c r="H897" s="329"/>
    </row>
    <row r="898" spans="1:8" ht="12" customHeight="1" x14ac:dyDescent="0.2">
      <c r="A898" s="1331"/>
      <c r="B898" s="1331"/>
      <c r="C898" s="1331"/>
      <c r="D898" s="1331"/>
      <c r="E898" s="846" t="s">
        <v>254</v>
      </c>
      <c r="F898" s="329"/>
      <c r="G898" s="329"/>
      <c r="H898" s="329">
        <f t="shared" si="154"/>
        <v>0</v>
      </c>
    </row>
    <row r="899" spans="1:8" ht="12" customHeight="1" x14ac:dyDescent="0.2">
      <c r="A899" s="1331"/>
      <c r="B899" s="1331"/>
      <c r="C899" s="1331"/>
      <c r="D899" s="1331"/>
      <c r="E899" s="846" t="s">
        <v>255</v>
      </c>
      <c r="F899" s="329"/>
      <c r="G899" s="329">
        <f>'5 kiadások'!O335</f>
        <v>5231394</v>
      </c>
      <c r="H899" s="329">
        <f t="shared" si="154"/>
        <v>5231394</v>
      </c>
    </row>
    <row r="900" spans="1:8" ht="12" customHeight="1" x14ac:dyDescent="0.2">
      <c r="A900" s="1331"/>
      <c r="B900" s="1331"/>
      <c r="C900" s="1331"/>
      <c r="D900" s="1331"/>
      <c r="E900" s="846" t="s">
        <v>256</v>
      </c>
      <c r="F900" s="329"/>
      <c r="G900" s="329"/>
      <c r="H900" s="329">
        <f t="shared" si="154"/>
        <v>0</v>
      </c>
    </row>
    <row r="901" spans="1:8" ht="12" customHeight="1" x14ac:dyDescent="0.2">
      <c r="A901" s="1618" t="s">
        <v>122</v>
      </c>
      <c r="B901" s="1618"/>
      <c r="C901" s="1618"/>
      <c r="D901" s="1618"/>
      <c r="E901" s="1618"/>
      <c r="F901" s="115"/>
      <c r="G901" s="115"/>
      <c r="H901" s="115"/>
    </row>
    <row r="902" spans="1:8" ht="12" customHeight="1" x14ac:dyDescent="0.2">
      <c r="A902" s="1189"/>
      <c r="B902" s="1189"/>
      <c r="C902" s="1189"/>
      <c r="D902" s="1189"/>
      <c r="E902" s="846" t="s">
        <v>254</v>
      </c>
      <c r="F902" s="115"/>
      <c r="G902" s="115">
        <f>G890+G894+G898</f>
        <v>418407475</v>
      </c>
      <c r="H902" s="115">
        <f>G902</f>
        <v>418407475</v>
      </c>
    </row>
    <row r="903" spans="1:8" ht="12" customHeight="1" x14ac:dyDescent="0.2">
      <c r="A903" s="1189"/>
      <c r="B903" s="1189"/>
      <c r="C903" s="1189"/>
      <c r="D903" s="1189"/>
      <c r="E903" s="846" t="s">
        <v>255</v>
      </c>
      <c r="F903" s="115"/>
      <c r="G903" s="115">
        <f>G891+G895+G899</f>
        <v>442579591.10000002</v>
      </c>
      <c r="H903" s="115">
        <f>G903</f>
        <v>442579591.10000002</v>
      </c>
    </row>
    <row r="904" spans="1:8" ht="12" customHeight="1" x14ac:dyDescent="0.2">
      <c r="A904" s="1189"/>
      <c r="B904" s="1189"/>
      <c r="C904" s="1189"/>
      <c r="D904" s="1189"/>
      <c r="E904" s="846" t="s">
        <v>256</v>
      </c>
      <c r="F904" s="115"/>
      <c r="G904" s="115">
        <f>G892+G896+G900</f>
        <v>146950891.06999999</v>
      </c>
      <c r="H904" s="115">
        <f>G904</f>
        <v>146950891.06999999</v>
      </c>
    </row>
    <row r="905" spans="1:8" ht="12" customHeight="1" x14ac:dyDescent="0.2">
      <c r="A905" s="1618" t="s">
        <v>123</v>
      </c>
      <c r="B905" s="1618"/>
      <c r="C905" s="1618"/>
      <c r="D905" s="1618"/>
      <c r="E905" s="1618"/>
      <c r="F905" s="115"/>
      <c r="G905" s="115"/>
      <c r="H905" s="115"/>
    </row>
    <row r="906" spans="1:8" ht="12" customHeight="1" x14ac:dyDescent="0.2">
      <c r="A906" s="1189"/>
      <c r="B906" s="1189"/>
      <c r="C906" s="1189"/>
      <c r="D906" s="1189"/>
      <c r="E906" s="846" t="s">
        <v>254</v>
      </c>
      <c r="F906" s="115">
        <f>'5 kiadások'!M359</f>
        <v>100000000</v>
      </c>
      <c r="G906" s="115">
        <v>0</v>
      </c>
      <c r="H906" s="115">
        <f>G906</f>
        <v>0</v>
      </c>
    </row>
    <row r="907" spans="1:8" ht="12" customHeight="1" x14ac:dyDescent="0.2">
      <c r="A907" s="1189"/>
      <c r="B907" s="1189"/>
      <c r="C907" s="1189"/>
      <c r="D907" s="1189"/>
      <c r="E907" s="846" t="s">
        <v>255</v>
      </c>
      <c r="F907" s="115">
        <f>'5 kiadások'!M360</f>
        <v>163549189</v>
      </c>
      <c r="G907" s="115">
        <v>0</v>
      </c>
      <c r="H907" s="115">
        <f>F907+G907</f>
        <v>163549189</v>
      </c>
    </row>
    <row r="908" spans="1:8" ht="12" customHeight="1" x14ac:dyDescent="0.2">
      <c r="A908" s="1189"/>
      <c r="B908" s="1189"/>
      <c r="C908" s="1189"/>
      <c r="D908" s="1189"/>
      <c r="E908" s="846" t="s">
        <v>256</v>
      </c>
      <c r="F908" s="115">
        <f>'5 kiadások'!M361</f>
        <v>163440283</v>
      </c>
      <c r="G908" s="115">
        <v>0</v>
      </c>
      <c r="H908" s="115">
        <f>F908+G908</f>
        <v>163440283</v>
      </c>
    </row>
    <row r="909" spans="1:8" ht="12" customHeight="1" x14ac:dyDescent="0.2">
      <c r="A909" s="1619" t="s">
        <v>124</v>
      </c>
      <c r="B909" s="1619"/>
      <c r="C909" s="1619"/>
      <c r="D909" s="1619"/>
      <c r="E909" s="1619"/>
      <c r="F909" s="851"/>
      <c r="G909" s="851"/>
      <c r="H909" s="851"/>
    </row>
    <row r="910" spans="1:8" ht="12" customHeight="1" x14ac:dyDescent="0.2">
      <c r="A910" s="1333"/>
      <c r="B910" s="1333"/>
      <c r="C910" s="1333"/>
      <c r="D910" s="1333"/>
      <c r="E910" s="1328" t="s">
        <v>254</v>
      </c>
      <c r="F910" s="1171">
        <f t="shared" ref="F910:G912" si="155">F885+F902+F906</f>
        <v>400675601.43000001</v>
      </c>
      <c r="G910" s="1171">
        <f t="shared" si="155"/>
        <v>418407475</v>
      </c>
      <c r="H910" s="1171">
        <f>F910+G910</f>
        <v>819083076.43000007</v>
      </c>
    </row>
    <row r="911" spans="1:8" ht="12" customHeight="1" x14ac:dyDescent="0.2">
      <c r="A911" s="1333"/>
      <c r="B911" s="1333"/>
      <c r="C911" s="1333"/>
      <c r="D911" s="1333"/>
      <c r="E911" s="1328" t="s">
        <v>255</v>
      </c>
      <c r="F911" s="1171">
        <f>F886+F903+F907</f>
        <v>518182261</v>
      </c>
      <c r="G911" s="1171">
        <f t="shared" si="155"/>
        <v>442579591.10000002</v>
      </c>
      <c r="H911" s="1171">
        <f>F911+G911</f>
        <v>960761852.10000002</v>
      </c>
    </row>
    <row r="912" spans="1:8" ht="12" customHeight="1" x14ac:dyDescent="0.2">
      <c r="A912" s="1333"/>
      <c r="B912" s="1333"/>
      <c r="C912" s="1333"/>
      <c r="D912" s="1333"/>
      <c r="E912" s="1328" t="s">
        <v>256</v>
      </c>
      <c r="F912" s="1171">
        <f>F887+F904+F908</f>
        <v>467068832.99000001</v>
      </c>
      <c r="G912" s="1171">
        <f t="shared" si="155"/>
        <v>146950891.06999999</v>
      </c>
      <c r="H912" s="1171">
        <f>F912+G912</f>
        <v>614019724.05999994</v>
      </c>
    </row>
  </sheetData>
  <mergeCells count="349">
    <mergeCell ref="C821:C828"/>
    <mergeCell ref="C810:C816"/>
    <mergeCell ref="A803:B809"/>
    <mergeCell ref="C803:C809"/>
    <mergeCell ref="D804:D806"/>
    <mergeCell ref="D807:D809"/>
    <mergeCell ref="C666:C669"/>
    <mergeCell ref="A666:B669"/>
    <mergeCell ref="A670:B673"/>
    <mergeCell ref="C670:C673"/>
    <mergeCell ref="D670:D673"/>
    <mergeCell ref="A686:E686"/>
    <mergeCell ref="A687:D689"/>
    <mergeCell ref="A675:D677"/>
    <mergeCell ref="A679:D681"/>
    <mergeCell ref="A682:B685"/>
    <mergeCell ref="C682:C685"/>
    <mergeCell ref="D682:D685"/>
    <mergeCell ref="A678:E678"/>
    <mergeCell ref="A708:D710"/>
    <mergeCell ref="A715:B718"/>
    <mergeCell ref="C715:C718"/>
    <mergeCell ref="D715:D718"/>
    <mergeCell ref="A723:B726"/>
    <mergeCell ref="E1:H1"/>
    <mergeCell ref="A714:E714"/>
    <mergeCell ref="G4:G5"/>
    <mergeCell ref="A674:E674"/>
    <mergeCell ref="H4:H5"/>
    <mergeCell ref="C4:C5"/>
    <mergeCell ref="E4:E5"/>
    <mergeCell ref="D6:H6"/>
    <mergeCell ref="D4:D5"/>
    <mergeCell ref="F4:F5"/>
    <mergeCell ref="A65:E65"/>
    <mergeCell ref="A461:E461"/>
    <mergeCell ref="A626:E626"/>
    <mergeCell ref="A598:E598"/>
    <mergeCell ref="D533:D536"/>
    <mergeCell ref="C533:C544"/>
    <mergeCell ref="A533:B544"/>
    <mergeCell ref="D537:D540"/>
    <mergeCell ref="A698:B701"/>
    <mergeCell ref="D541:D544"/>
    <mergeCell ref="A594:E594"/>
    <mergeCell ref="D565:D568"/>
    <mergeCell ref="D569:D572"/>
    <mergeCell ref="D573:D576"/>
    <mergeCell ref="C850:C853"/>
    <mergeCell ref="D850:D853"/>
    <mergeCell ref="D846:D849"/>
    <mergeCell ref="D842:D845"/>
    <mergeCell ref="A842:B845"/>
    <mergeCell ref="A846:B849"/>
    <mergeCell ref="A850:B853"/>
    <mergeCell ref="A768:B774"/>
    <mergeCell ref="C768:C774"/>
    <mergeCell ref="D769:D771"/>
    <mergeCell ref="D772:D774"/>
    <mergeCell ref="A796:B802"/>
    <mergeCell ref="A810:B816"/>
    <mergeCell ref="C796:C802"/>
    <mergeCell ref="D797:D799"/>
    <mergeCell ref="D800:D802"/>
    <mergeCell ref="D811:D813"/>
    <mergeCell ref="D814:D816"/>
    <mergeCell ref="A789:B795"/>
    <mergeCell ref="C789:C795"/>
    <mergeCell ref="D790:D792"/>
    <mergeCell ref="D793:D795"/>
    <mergeCell ref="D776:D778"/>
    <mergeCell ref="C842:C845"/>
    <mergeCell ref="D577:D580"/>
    <mergeCell ref="A545:C580"/>
    <mergeCell ref="D549:D552"/>
    <mergeCell ref="D553:D556"/>
    <mergeCell ref="D545:D548"/>
    <mergeCell ref="D557:D560"/>
    <mergeCell ref="D585:D588"/>
    <mergeCell ref="D589:D592"/>
    <mergeCell ref="D582:D584"/>
    <mergeCell ref="A582:C592"/>
    <mergeCell ref="D561:D564"/>
    <mergeCell ref="A638:E638"/>
    <mergeCell ref="A634:E634"/>
    <mergeCell ref="A707:E707"/>
    <mergeCell ref="D618:D621"/>
    <mergeCell ref="A606:B609"/>
    <mergeCell ref="C606:C609"/>
    <mergeCell ref="D606:D609"/>
    <mergeCell ref="A610:B613"/>
    <mergeCell ref="C610:C613"/>
    <mergeCell ref="D610:D613"/>
    <mergeCell ref="A631:D633"/>
    <mergeCell ref="A635:D637"/>
    <mergeCell ref="A639:D641"/>
    <mergeCell ref="A646:B649"/>
    <mergeCell ref="C646:C649"/>
    <mergeCell ref="D646:D649"/>
    <mergeCell ref="A643:D645"/>
    <mergeCell ref="C622:C625"/>
    <mergeCell ref="A622:B625"/>
    <mergeCell ref="D622:D625"/>
    <mergeCell ref="D654:D657"/>
    <mergeCell ref="A642:E642"/>
    <mergeCell ref="A630:E630"/>
    <mergeCell ref="D666:D669"/>
    <mergeCell ref="A595:D597"/>
    <mergeCell ref="A627:D629"/>
    <mergeCell ref="A614:B617"/>
    <mergeCell ref="C614:C617"/>
    <mergeCell ref="D614:D617"/>
    <mergeCell ref="A618:B621"/>
    <mergeCell ref="C618:C621"/>
    <mergeCell ref="A66:D68"/>
    <mergeCell ref="D69:D72"/>
    <mergeCell ref="D73:D76"/>
    <mergeCell ref="D77:D88"/>
    <mergeCell ref="C77:C88"/>
    <mergeCell ref="A77:B88"/>
    <mergeCell ref="D522:D524"/>
    <mergeCell ref="D525:D528"/>
    <mergeCell ref="D529:D532"/>
    <mergeCell ref="A522:C532"/>
    <mergeCell ref="A69:C76"/>
    <mergeCell ref="A89:C124"/>
    <mergeCell ref="D89:D92"/>
    <mergeCell ref="D93:D96"/>
    <mergeCell ref="D97:D100"/>
    <mergeCell ref="D101:D104"/>
    <mergeCell ref="D105:D108"/>
    <mergeCell ref="D109:D112"/>
    <mergeCell ref="D113:D116"/>
    <mergeCell ref="D117:D120"/>
    <mergeCell ref="D121:D124"/>
    <mergeCell ref="A125:B136"/>
    <mergeCell ref="A521:E521"/>
    <mergeCell ref="C125:C136"/>
    <mergeCell ref="D125:D136"/>
    <mergeCell ref="A413:B424"/>
    <mergeCell ref="C413:C424"/>
    <mergeCell ref="D413:D424"/>
    <mergeCell ref="D305:D308"/>
    <mergeCell ref="D309:D312"/>
    <mergeCell ref="D313:D316"/>
    <mergeCell ref="A281:C316"/>
    <mergeCell ref="A173:B184"/>
    <mergeCell ref="C173:C184"/>
    <mergeCell ref="D173:D176"/>
    <mergeCell ref="D177:D180"/>
    <mergeCell ref="D181:D184"/>
    <mergeCell ref="D317:D320"/>
    <mergeCell ref="A269:B280"/>
    <mergeCell ref="C269:C280"/>
    <mergeCell ref="D269:D272"/>
    <mergeCell ref="D273:D276"/>
    <mergeCell ref="D277:D280"/>
    <mergeCell ref="D281:D284"/>
    <mergeCell ref="D285:D288"/>
    <mergeCell ref="D289:D292"/>
    <mergeCell ref="D293:D296"/>
    <mergeCell ref="D297:D300"/>
    <mergeCell ref="A473:B484"/>
    <mergeCell ref="C473:C484"/>
    <mergeCell ref="D473:D476"/>
    <mergeCell ref="D477:D480"/>
    <mergeCell ref="D481:D484"/>
    <mergeCell ref="A425:C460"/>
    <mergeCell ref="D425:D428"/>
    <mergeCell ref="D429:D432"/>
    <mergeCell ref="D433:D436"/>
    <mergeCell ref="D437:D440"/>
    <mergeCell ref="D441:D444"/>
    <mergeCell ref="D445:D448"/>
    <mergeCell ref="D449:D452"/>
    <mergeCell ref="D453:D456"/>
    <mergeCell ref="D457:D460"/>
    <mergeCell ref="A462:D464"/>
    <mergeCell ref="D465:D468"/>
    <mergeCell ref="D333:D336"/>
    <mergeCell ref="D337:D340"/>
    <mergeCell ref="D469:D472"/>
    <mergeCell ref="A465:C472"/>
    <mergeCell ref="A485:B520"/>
    <mergeCell ref="C485:C520"/>
    <mergeCell ref="D485:D488"/>
    <mergeCell ref="D489:D492"/>
    <mergeCell ref="D493:D496"/>
    <mergeCell ref="D497:D500"/>
    <mergeCell ref="D501:D504"/>
    <mergeCell ref="D505:D508"/>
    <mergeCell ref="D509:D512"/>
    <mergeCell ref="D513:D516"/>
    <mergeCell ref="D517:D520"/>
    <mergeCell ref="D409:D412"/>
    <mergeCell ref="D393:D396"/>
    <mergeCell ref="A329:C364"/>
    <mergeCell ref="A365:B376"/>
    <mergeCell ref="C365:C376"/>
    <mergeCell ref="D369:D372"/>
    <mergeCell ref="D209:D212"/>
    <mergeCell ref="D213:D216"/>
    <mergeCell ref="D217:D220"/>
    <mergeCell ref="D301:D304"/>
    <mergeCell ref="A885:D887"/>
    <mergeCell ref="A829:E829"/>
    <mergeCell ref="A833:E833"/>
    <mergeCell ref="E834:G834"/>
    <mergeCell ref="A821:B828"/>
    <mergeCell ref="D821:D822"/>
    <mergeCell ref="D823:D825"/>
    <mergeCell ref="D826:D828"/>
    <mergeCell ref="A818:D820"/>
    <mergeCell ref="A880:B883"/>
    <mergeCell ref="C864:D867"/>
    <mergeCell ref="C868:D871"/>
    <mergeCell ref="A838:E838"/>
    <mergeCell ref="E842:G842"/>
    <mergeCell ref="C872:D875"/>
    <mergeCell ref="C876:D879"/>
    <mergeCell ref="C880:D883"/>
    <mergeCell ref="D321:D324"/>
    <mergeCell ref="D325:D328"/>
    <mergeCell ref="D329:D332"/>
    <mergeCell ref="D193:D196"/>
    <mergeCell ref="C888:E888"/>
    <mergeCell ref="A901:E901"/>
    <mergeCell ref="A905:E905"/>
    <mergeCell ref="A909:E909"/>
    <mergeCell ref="A317:B328"/>
    <mergeCell ref="C317:C328"/>
    <mergeCell ref="A719:E719"/>
    <mergeCell ref="A731:E731"/>
    <mergeCell ref="A739:E739"/>
    <mergeCell ref="A817:E817"/>
    <mergeCell ref="E821:E822"/>
    <mergeCell ref="A854:E854"/>
    <mergeCell ref="A858:E858"/>
    <mergeCell ref="A862:H862"/>
    <mergeCell ref="A884:E884"/>
    <mergeCell ref="A864:B867"/>
    <mergeCell ref="A868:B871"/>
    <mergeCell ref="A872:B875"/>
    <mergeCell ref="A876:B879"/>
    <mergeCell ref="A377:C412"/>
    <mergeCell ref="D197:D200"/>
    <mergeCell ref="D201:D204"/>
    <mergeCell ref="D205:D208"/>
    <mergeCell ref="A7:H7"/>
    <mergeCell ref="C602:C605"/>
    <mergeCell ref="D602:D605"/>
    <mergeCell ref="A602:B605"/>
    <mergeCell ref="A599:D601"/>
    <mergeCell ref="A221:B232"/>
    <mergeCell ref="C221:C232"/>
    <mergeCell ref="D221:D224"/>
    <mergeCell ref="D225:D228"/>
    <mergeCell ref="D229:D232"/>
    <mergeCell ref="A233:C268"/>
    <mergeCell ref="D233:D236"/>
    <mergeCell ref="D237:D240"/>
    <mergeCell ref="D241:D244"/>
    <mergeCell ref="D245:D248"/>
    <mergeCell ref="D249:D252"/>
    <mergeCell ref="D253:D256"/>
    <mergeCell ref="D257:D260"/>
    <mergeCell ref="D261:D264"/>
    <mergeCell ref="D265:D268"/>
    <mergeCell ref="D397:D400"/>
    <mergeCell ref="D401:D404"/>
    <mergeCell ref="D405:D408"/>
    <mergeCell ref="D373:D376"/>
    <mergeCell ref="A8:E8"/>
    <mergeCell ref="A658:B661"/>
    <mergeCell ref="C658:C661"/>
    <mergeCell ref="D658:D661"/>
    <mergeCell ref="A662:B665"/>
    <mergeCell ref="C662:C665"/>
    <mergeCell ref="D662:D665"/>
    <mergeCell ref="A650:B653"/>
    <mergeCell ref="C650:C653"/>
    <mergeCell ref="D650:D653"/>
    <mergeCell ref="A654:B657"/>
    <mergeCell ref="C654:C657"/>
    <mergeCell ref="D389:D392"/>
    <mergeCell ref="D341:D344"/>
    <mergeCell ref="D345:D348"/>
    <mergeCell ref="D349:D352"/>
    <mergeCell ref="D353:D356"/>
    <mergeCell ref="D357:D360"/>
    <mergeCell ref="D377:D380"/>
    <mergeCell ref="D381:D384"/>
    <mergeCell ref="D385:D388"/>
    <mergeCell ref="D185:D188"/>
    <mergeCell ref="A185:C220"/>
    <mergeCell ref="D189:D192"/>
    <mergeCell ref="A720:D722"/>
    <mergeCell ref="A690:B693"/>
    <mergeCell ref="C690:C693"/>
    <mergeCell ref="D690:D693"/>
    <mergeCell ref="A694:B697"/>
    <mergeCell ref="A702:B706"/>
    <mergeCell ref="C694:C697"/>
    <mergeCell ref="C702:C706"/>
    <mergeCell ref="D694:D697"/>
    <mergeCell ref="D702:D706"/>
    <mergeCell ref="A713:E713"/>
    <mergeCell ref="A711:E711"/>
    <mergeCell ref="A712:E712"/>
    <mergeCell ref="C698:C701"/>
    <mergeCell ref="D698:D701"/>
    <mergeCell ref="C747:C753"/>
    <mergeCell ref="D748:D750"/>
    <mergeCell ref="D779:D781"/>
    <mergeCell ref="A775:B781"/>
    <mergeCell ref="C775:C781"/>
    <mergeCell ref="A754:B760"/>
    <mergeCell ref="C754:C760"/>
    <mergeCell ref="D755:D757"/>
    <mergeCell ref="D758:D760"/>
    <mergeCell ref="A761:B767"/>
    <mergeCell ref="C761:C767"/>
    <mergeCell ref="D762:D764"/>
    <mergeCell ref="D765:D767"/>
    <mergeCell ref="D751:D753"/>
    <mergeCell ref="C846:C849"/>
    <mergeCell ref="D839:D841"/>
    <mergeCell ref="A839:C841"/>
    <mergeCell ref="A20:B28"/>
    <mergeCell ref="A12:C19"/>
    <mergeCell ref="D12:D15"/>
    <mergeCell ref="D16:D19"/>
    <mergeCell ref="A782:B788"/>
    <mergeCell ref="C782:C788"/>
    <mergeCell ref="D783:D785"/>
    <mergeCell ref="D786:D788"/>
    <mergeCell ref="A727:B730"/>
    <mergeCell ref="C723:C726"/>
    <mergeCell ref="C727:C730"/>
    <mergeCell ref="D723:D726"/>
    <mergeCell ref="D727:D730"/>
    <mergeCell ref="D733:D735"/>
    <mergeCell ref="D736:D738"/>
    <mergeCell ref="A732:B738"/>
    <mergeCell ref="C732:C738"/>
    <mergeCell ref="A743:B746"/>
    <mergeCell ref="C743:C746"/>
    <mergeCell ref="D743:D746"/>
    <mergeCell ref="A747:B753"/>
  </mergeCells>
  <phoneticPr fontId="39" type="noConversion"/>
  <printOptions horizontalCentered="1" verticalCentered="1"/>
  <pageMargins left="0.78740157480314965" right="0.78740157480314965" top="0.39370078740157483" bottom="0.39370078740157483" header="0.51181102362204722" footer="0.11811023622047245"/>
  <pageSetup paperSize="8" scale="6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view="pageBreakPreview" topLeftCell="C25" zoomScaleSheetLayoutView="100" workbookViewId="0">
      <selection activeCell="C25" sqref="C1:N1048576"/>
    </sheetView>
  </sheetViews>
  <sheetFormatPr defaultRowHeight="12.75" x14ac:dyDescent="0.2"/>
  <cols>
    <col min="1" max="1" width="5" customWidth="1"/>
    <col min="2" max="2" width="8.7109375" customWidth="1"/>
    <col min="3" max="5" width="20.140625" style="709" customWidth="1"/>
    <col min="6" max="6" width="12.140625" style="1342" customWidth="1"/>
    <col min="7" max="7" width="8.85546875" style="1342" customWidth="1"/>
    <col min="8" max="8" width="11.7109375" style="1342" customWidth="1"/>
    <col min="9" max="9" width="11.85546875" style="709" customWidth="1"/>
    <col min="10" max="10" width="10.42578125" style="709" customWidth="1"/>
    <col min="11" max="11" width="12.85546875" style="709" customWidth="1"/>
    <col min="12" max="13" width="8.85546875" style="709" customWidth="1"/>
    <col min="14" max="14" width="11.28515625" style="19" customWidth="1"/>
    <col min="15" max="15" width="9.7109375" bestFit="1" customWidth="1"/>
    <col min="16" max="18" width="10.7109375" bestFit="1" customWidth="1"/>
  </cols>
  <sheetData>
    <row r="1" spans="1:16" ht="15.7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793"/>
      <c r="L1" s="1793"/>
      <c r="M1" s="1793"/>
      <c r="N1" s="1793"/>
    </row>
    <row r="2" spans="1:1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8"/>
    </row>
    <row r="3" spans="1:16" ht="20.2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795"/>
      <c r="N3" s="1795"/>
      <c r="P3" s="89"/>
    </row>
    <row r="4" spans="1:16" ht="21" customHeight="1" x14ac:dyDescent="0.2">
      <c r="A4" s="1783" t="s">
        <v>28</v>
      </c>
      <c r="B4" s="1787" t="s">
        <v>176</v>
      </c>
      <c r="C4" s="1783" t="s">
        <v>183</v>
      </c>
      <c r="D4" s="1788" t="s">
        <v>184</v>
      </c>
      <c r="E4" s="1789"/>
      <c r="F4" s="1789"/>
      <c r="G4" s="1789"/>
      <c r="H4" s="1789"/>
      <c r="I4" s="1790"/>
      <c r="J4" s="1783" t="s">
        <v>185</v>
      </c>
      <c r="K4" s="1783"/>
      <c r="L4" s="1783"/>
      <c r="M4" s="1783"/>
      <c r="N4" s="1783" t="s">
        <v>16</v>
      </c>
    </row>
    <row r="5" spans="1:16" s="23" customFormat="1" ht="24" customHeight="1" x14ac:dyDescent="0.2">
      <c r="A5" s="1783"/>
      <c r="B5" s="1787"/>
      <c r="C5" s="1783"/>
      <c r="D5" s="1783" t="s">
        <v>147</v>
      </c>
      <c r="E5" s="1783" t="s">
        <v>151</v>
      </c>
      <c r="F5" s="1783" t="s">
        <v>149</v>
      </c>
      <c r="G5" s="1785" t="s">
        <v>195</v>
      </c>
      <c r="H5" s="1783" t="s">
        <v>150</v>
      </c>
      <c r="I5" s="1783" t="s">
        <v>148</v>
      </c>
      <c r="J5" s="1783"/>
      <c r="K5" s="1783"/>
      <c r="L5" s="1783"/>
      <c r="M5" s="1783"/>
      <c r="N5" s="1783"/>
    </row>
    <row r="6" spans="1:16" s="23" customFormat="1" ht="38.25" customHeight="1" x14ac:dyDescent="0.2">
      <c r="A6" s="1783"/>
      <c r="B6" s="1787"/>
      <c r="C6" s="1783"/>
      <c r="D6" s="1783"/>
      <c r="E6" s="1783"/>
      <c r="F6" s="1783"/>
      <c r="G6" s="1785"/>
      <c r="H6" s="1783"/>
      <c r="I6" s="1783"/>
      <c r="J6" s="1783" t="s">
        <v>169</v>
      </c>
      <c r="K6" s="1783"/>
      <c r="L6" s="1783" t="s">
        <v>192</v>
      </c>
      <c r="M6" s="1794"/>
      <c r="N6" s="1783"/>
    </row>
    <row r="7" spans="1:16" s="23" customFormat="1" ht="12.75" customHeight="1" x14ac:dyDescent="0.2">
      <c r="A7" s="1783"/>
      <c r="B7" s="1787"/>
      <c r="C7" s="1783"/>
      <c r="D7" s="1783"/>
      <c r="E7" s="1783"/>
      <c r="F7" s="1783"/>
      <c r="G7" s="1785"/>
      <c r="H7" s="1783"/>
      <c r="I7" s="1783"/>
      <c r="J7" s="1783" t="s">
        <v>52</v>
      </c>
      <c r="K7" s="1783" t="s">
        <v>14</v>
      </c>
      <c r="L7" s="1783" t="s">
        <v>14</v>
      </c>
      <c r="M7" s="1783" t="s">
        <v>52</v>
      </c>
      <c r="N7" s="1783"/>
    </row>
    <row r="8" spans="1:16" s="23" customFormat="1" ht="15" customHeight="1" thickBot="1" x14ac:dyDescent="0.25">
      <c r="A8" s="1783"/>
      <c r="B8" s="1787"/>
      <c r="C8" s="1784"/>
      <c r="D8" s="1784"/>
      <c r="E8" s="1784"/>
      <c r="F8" s="1784"/>
      <c r="G8" s="1786"/>
      <c r="H8" s="1784"/>
      <c r="I8" s="1784"/>
      <c r="J8" s="1771"/>
      <c r="K8" s="1771"/>
      <c r="L8" s="1771"/>
      <c r="M8" s="1771"/>
      <c r="N8" s="1784"/>
    </row>
    <row r="9" spans="1:16" s="23" customFormat="1" ht="39" customHeight="1" x14ac:dyDescent="0.2">
      <c r="A9" s="1771">
        <v>1</v>
      </c>
      <c r="B9" s="685"/>
      <c r="C9" s="691" t="s">
        <v>207</v>
      </c>
      <c r="D9" s="692"/>
      <c r="E9" s="692"/>
      <c r="F9" s="693"/>
      <c r="G9" s="694"/>
      <c r="H9" s="692"/>
      <c r="I9" s="692"/>
      <c r="J9" s="695"/>
      <c r="K9" s="696"/>
      <c r="L9" s="695"/>
      <c r="M9" s="695"/>
      <c r="N9" s="697"/>
      <c r="P9" s="139"/>
    </row>
    <row r="10" spans="1:16" s="23" customFormat="1" ht="18" customHeight="1" x14ac:dyDescent="0.2">
      <c r="A10" s="1772"/>
      <c r="B10" s="1774"/>
      <c r="C10" s="698" t="s">
        <v>254</v>
      </c>
      <c r="D10" s="344">
        <f>D14+D18</f>
        <v>0</v>
      </c>
      <c r="E10" s="344">
        <f t="shared" ref="E10:I10" si="0">E14+E18</f>
        <v>0</v>
      </c>
      <c r="F10" s="344">
        <f t="shared" si="0"/>
        <v>380000</v>
      </c>
      <c r="G10" s="344">
        <f t="shared" si="0"/>
        <v>0</v>
      </c>
      <c r="H10" s="344">
        <f t="shared" si="0"/>
        <v>0</v>
      </c>
      <c r="I10" s="344">
        <f t="shared" si="0"/>
        <v>0</v>
      </c>
      <c r="J10" s="344">
        <f>J14+J18</f>
        <v>0</v>
      </c>
      <c r="K10" s="344">
        <f t="shared" ref="K10:M10" si="1">K14+K18</f>
        <v>49781780</v>
      </c>
      <c r="L10" s="344">
        <f t="shared" si="1"/>
        <v>0</v>
      </c>
      <c r="M10" s="344">
        <f t="shared" si="1"/>
        <v>0</v>
      </c>
      <c r="N10" s="699">
        <f>SUM(D10:M10)</f>
        <v>50161780</v>
      </c>
      <c r="P10" s="139"/>
    </row>
    <row r="11" spans="1:16" s="23" customFormat="1" ht="16.5" customHeight="1" x14ac:dyDescent="0.2">
      <c r="A11" s="1772"/>
      <c r="B11" s="1775"/>
      <c r="C11" s="698" t="s">
        <v>255</v>
      </c>
      <c r="D11" s="344">
        <f t="shared" ref="D11:E12" si="2">D15+D19</f>
        <v>746480</v>
      </c>
      <c r="E11" s="344">
        <f t="shared" si="2"/>
        <v>0</v>
      </c>
      <c r="F11" s="344">
        <f t="shared" ref="F11:M12" si="3">F15+F19</f>
        <v>1458837</v>
      </c>
      <c r="G11" s="344">
        <f t="shared" si="3"/>
        <v>0</v>
      </c>
      <c r="H11" s="344">
        <f t="shared" si="3"/>
        <v>0</v>
      </c>
      <c r="I11" s="344">
        <f t="shared" si="3"/>
        <v>0</v>
      </c>
      <c r="J11" s="344">
        <f t="shared" si="3"/>
        <v>823900</v>
      </c>
      <c r="K11" s="344">
        <f t="shared" si="3"/>
        <v>50800559</v>
      </c>
      <c r="L11" s="344">
        <f t="shared" si="3"/>
        <v>187373</v>
      </c>
      <c r="M11" s="344">
        <f t="shared" si="3"/>
        <v>0</v>
      </c>
      <c r="N11" s="699">
        <f t="shared" ref="N11:N12" si="4">SUM(D11:M11)</f>
        <v>54017149</v>
      </c>
      <c r="P11" s="139"/>
    </row>
    <row r="12" spans="1:16" s="23" customFormat="1" ht="18.75" customHeight="1" thickBot="1" x14ac:dyDescent="0.25">
      <c r="A12" s="1772"/>
      <c r="B12" s="1776"/>
      <c r="C12" s="700" t="s">
        <v>256</v>
      </c>
      <c r="D12" s="344">
        <f t="shared" si="2"/>
        <v>746480</v>
      </c>
      <c r="E12" s="344">
        <f t="shared" si="2"/>
        <v>0</v>
      </c>
      <c r="F12" s="390">
        <f t="shared" si="3"/>
        <v>504006</v>
      </c>
      <c r="G12" s="390">
        <f t="shared" si="3"/>
        <v>0</v>
      </c>
      <c r="H12" s="390">
        <f t="shared" si="3"/>
        <v>0</v>
      </c>
      <c r="I12" s="390">
        <f t="shared" si="3"/>
        <v>0</v>
      </c>
      <c r="J12" s="344">
        <f t="shared" si="3"/>
        <v>822561</v>
      </c>
      <c r="K12" s="344">
        <f t="shared" si="3"/>
        <v>47753711</v>
      </c>
      <c r="L12" s="344">
        <f t="shared" si="3"/>
        <v>187373</v>
      </c>
      <c r="M12" s="390">
        <f t="shared" si="3"/>
        <v>0</v>
      </c>
      <c r="N12" s="699">
        <f t="shared" si="4"/>
        <v>50014131</v>
      </c>
      <c r="P12" s="139"/>
    </row>
    <row r="13" spans="1:16" s="23" customFormat="1" ht="26.25" customHeight="1" x14ac:dyDescent="0.2">
      <c r="A13" s="1772"/>
      <c r="B13" s="1780" t="s">
        <v>54</v>
      </c>
      <c r="C13" s="686" t="s">
        <v>73</v>
      </c>
      <c r="D13" s="687"/>
      <c r="E13" s="687"/>
      <c r="F13" s="678"/>
      <c r="G13" s="688"/>
      <c r="H13" s="687"/>
      <c r="I13" s="687"/>
      <c r="J13" s="689"/>
      <c r="K13" s="690"/>
      <c r="L13" s="1179"/>
      <c r="M13" s="1179"/>
      <c r="N13" s="678"/>
    </row>
    <row r="14" spans="1:16" s="23" customFormat="1" ht="21.75" customHeight="1" x14ac:dyDescent="0.2">
      <c r="A14" s="1772"/>
      <c r="B14" s="1781"/>
      <c r="C14" s="322" t="s">
        <v>254</v>
      </c>
      <c r="D14" s="109">
        <f>'3 bevételek'!F30</f>
        <v>0</v>
      </c>
      <c r="E14" s="1180"/>
      <c r="F14" s="111">
        <f>'3 bevételek'!F94+'3 bevételek'!F138+'3 bevételek'!F186+'3 bevételek'!F234+'3 bevételek'!F282+'3 bevételek'!F330+'3 bevételek'!F378+'3 bevételek'!F426</f>
        <v>380000</v>
      </c>
      <c r="G14" s="547">
        <v>0</v>
      </c>
      <c r="H14" s="1180"/>
      <c r="I14" s="1180"/>
      <c r="J14" s="548"/>
      <c r="K14" s="533">
        <f>'5 kiadások'!R9-'4 int-i bevételek '!D14-'4 int-i bevételek '!F14-J14-L14-M14</f>
        <v>49781780</v>
      </c>
      <c r="L14" s="1181"/>
      <c r="M14" s="1181"/>
      <c r="N14" s="111">
        <f t="shared" ref="N14:N20" si="5">SUM(F14:M14)</f>
        <v>50161780</v>
      </c>
    </row>
    <row r="15" spans="1:16" s="23" customFormat="1" ht="19.5" customHeight="1" x14ac:dyDescent="0.2">
      <c r="A15" s="1772"/>
      <c r="B15" s="1781"/>
      <c r="C15" s="322" t="s">
        <v>255</v>
      </c>
      <c r="D15" s="109">
        <f>'3 bevételek'!F31</f>
        <v>746480</v>
      </c>
      <c r="E15" s="1180"/>
      <c r="F15" s="111">
        <f>'3 bevételek'!F95+'3 bevételek'!F139+'3 bevételek'!F187+'3 bevételek'!F235+'3 bevételek'!F283+'3 bevételek'!F331+'3 bevételek'!F379+'3 bevételek'!F427</f>
        <v>1458837</v>
      </c>
      <c r="G15" s="547"/>
      <c r="H15" s="1180"/>
      <c r="I15" s="1180"/>
      <c r="J15" s="548">
        <v>823900</v>
      </c>
      <c r="K15" s="533">
        <f>51811832-L15-J15</f>
        <v>50800559</v>
      </c>
      <c r="L15" s="707">
        <v>187373</v>
      </c>
      <c r="M15" s="1181"/>
      <c r="N15" s="111">
        <f>SUM(D15:M15)</f>
        <v>54017149</v>
      </c>
    </row>
    <row r="16" spans="1:16" s="23" customFormat="1" ht="23.25" customHeight="1" x14ac:dyDescent="0.2">
      <c r="A16" s="1772"/>
      <c r="B16" s="1782"/>
      <c r="C16" s="322" t="s">
        <v>256</v>
      </c>
      <c r="D16" s="109">
        <f>'3 bevételek'!F32</f>
        <v>746480</v>
      </c>
      <c r="E16" s="1180"/>
      <c r="F16" s="111">
        <f>'3 bevételek'!F96+'3 bevételek'!F140+'3 bevételek'!F188+'3 bevételek'!F236+'3 bevételek'!F284+'3 bevételek'!F332+'3 bevételek'!F380+'3 bevételek'!F428</f>
        <v>504006</v>
      </c>
      <c r="G16" s="547">
        <v>0</v>
      </c>
      <c r="H16" s="1180"/>
      <c r="I16" s="1180"/>
      <c r="J16" s="533">
        <v>822561</v>
      </c>
      <c r="K16" s="533">
        <f>48576272-J16</f>
        <v>47753711</v>
      </c>
      <c r="L16" s="707">
        <v>187373</v>
      </c>
      <c r="M16" s="1181"/>
      <c r="N16" s="111">
        <f>SUM(D16:M16)</f>
        <v>50014131</v>
      </c>
    </row>
    <row r="17" spans="1:18" s="23" customFormat="1" ht="27.75" customHeight="1" x14ac:dyDescent="0.2">
      <c r="A17" s="1772"/>
      <c r="B17" s="1780" t="s">
        <v>55</v>
      </c>
      <c r="C17" s="112" t="s">
        <v>72</v>
      </c>
      <c r="D17" s="1180"/>
      <c r="E17" s="1180"/>
      <c r="F17" s="109"/>
      <c r="G17" s="110"/>
      <c r="H17" s="1180"/>
      <c r="I17" s="1180"/>
      <c r="J17" s="533"/>
      <c r="K17" s="533"/>
      <c r="L17" s="1181"/>
      <c r="M17" s="1181"/>
      <c r="N17" s="111">
        <f t="shared" si="5"/>
        <v>0</v>
      </c>
    </row>
    <row r="18" spans="1:18" s="23" customFormat="1" ht="20.25" customHeight="1" x14ac:dyDescent="0.2">
      <c r="A18" s="1772"/>
      <c r="B18" s="1781"/>
      <c r="C18" s="322" t="s">
        <v>254</v>
      </c>
      <c r="D18" s="1180"/>
      <c r="E18" s="1180"/>
      <c r="F18" s="109"/>
      <c r="G18" s="110"/>
      <c r="H18" s="1180"/>
      <c r="I18" s="1180"/>
      <c r="J18" s="1181"/>
      <c r="K18" s="111"/>
      <c r="L18" s="1181"/>
      <c r="M18" s="1181"/>
      <c r="N18" s="111">
        <f t="shared" si="5"/>
        <v>0</v>
      </c>
    </row>
    <row r="19" spans="1:18" s="23" customFormat="1" ht="23.25" customHeight="1" x14ac:dyDescent="0.2">
      <c r="A19" s="1772"/>
      <c r="B19" s="1781"/>
      <c r="C19" s="322" t="s">
        <v>255</v>
      </c>
      <c r="D19" s="1180"/>
      <c r="E19" s="1180"/>
      <c r="F19" s="109"/>
      <c r="G19" s="110"/>
      <c r="H19" s="1180"/>
      <c r="I19" s="1180"/>
      <c r="J19" s="1181"/>
      <c r="K19" s="111"/>
      <c r="L19" s="1181"/>
      <c r="M19" s="1181"/>
      <c r="N19" s="111">
        <f t="shared" si="5"/>
        <v>0</v>
      </c>
    </row>
    <row r="20" spans="1:18" s="23" customFormat="1" ht="20.25" customHeight="1" thickBot="1" x14ac:dyDescent="0.25">
      <c r="A20" s="1773"/>
      <c r="B20" s="1782"/>
      <c r="C20" s="679" t="s">
        <v>256</v>
      </c>
      <c r="D20" s="680"/>
      <c r="E20" s="680"/>
      <c r="F20" s="681"/>
      <c r="G20" s="682"/>
      <c r="H20" s="680"/>
      <c r="I20" s="680"/>
      <c r="J20" s="683"/>
      <c r="K20" s="684"/>
      <c r="L20" s="683"/>
      <c r="M20" s="683"/>
      <c r="N20" s="684">
        <f t="shared" si="5"/>
        <v>0</v>
      </c>
    </row>
    <row r="21" spans="1:18" ht="37.5" customHeight="1" x14ac:dyDescent="0.2">
      <c r="A21" s="1768">
        <v>2</v>
      </c>
      <c r="B21" s="1777"/>
      <c r="C21" s="702" t="s">
        <v>188</v>
      </c>
      <c r="D21" s="703"/>
      <c r="E21" s="703"/>
      <c r="F21" s="704"/>
      <c r="G21" s="703"/>
      <c r="H21" s="703"/>
      <c r="I21" s="703"/>
      <c r="J21" s="703"/>
      <c r="K21" s="703"/>
      <c r="L21" s="703"/>
      <c r="M21" s="703"/>
      <c r="N21" s="705"/>
      <c r="O21" s="1791"/>
      <c r="P21" s="1792"/>
    </row>
    <row r="22" spans="1:18" s="709" customFormat="1" ht="22.5" customHeight="1" x14ac:dyDescent="0.2">
      <c r="A22" s="1769"/>
      <c r="B22" s="1778"/>
      <c r="C22" s="706" t="s">
        <v>254</v>
      </c>
      <c r="D22" s="332">
        <f t="shared" ref="D22:E24" si="6">D26+D30</f>
        <v>0</v>
      </c>
      <c r="E22" s="332">
        <f t="shared" si="6"/>
        <v>0</v>
      </c>
      <c r="F22" s="332">
        <f t="shared" ref="F22:M22" si="7">F26+F30</f>
        <v>11431000</v>
      </c>
      <c r="G22" s="332">
        <f t="shared" si="7"/>
        <v>0</v>
      </c>
      <c r="H22" s="332">
        <f t="shared" si="7"/>
        <v>0</v>
      </c>
      <c r="I22" s="332">
        <f t="shared" si="7"/>
        <v>0</v>
      </c>
      <c r="J22" s="332">
        <f t="shared" si="7"/>
        <v>2000000</v>
      </c>
      <c r="K22" s="332">
        <f>K26+K30</f>
        <v>53321820.550000004</v>
      </c>
      <c r="L22" s="332">
        <f t="shared" si="7"/>
        <v>0</v>
      </c>
      <c r="M22" s="332">
        <f t="shared" si="7"/>
        <v>0</v>
      </c>
      <c r="N22" s="699">
        <f>SUM(F22:M22)</f>
        <v>66752820.550000004</v>
      </c>
      <c r="O22" s="742"/>
      <c r="P22" s="743"/>
    </row>
    <row r="23" spans="1:18" s="91" customFormat="1" ht="22.5" customHeight="1" x14ac:dyDescent="0.2">
      <c r="A23" s="1769"/>
      <c r="B23" s="1778"/>
      <c r="C23" s="706" t="s">
        <v>255</v>
      </c>
      <c r="D23" s="332">
        <f t="shared" si="6"/>
        <v>0</v>
      </c>
      <c r="E23" s="332">
        <f t="shared" si="6"/>
        <v>0</v>
      </c>
      <c r="F23" s="332">
        <f t="shared" ref="F23:L23" si="8">F27+F31</f>
        <v>12718458</v>
      </c>
      <c r="G23" s="332">
        <f t="shared" si="8"/>
        <v>0</v>
      </c>
      <c r="H23" s="332">
        <f t="shared" si="8"/>
        <v>0</v>
      </c>
      <c r="I23" s="332">
        <f t="shared" si="8"/>
        <v>0</v>
      </c>
      <c r="J23" s="332">
        <f t="shared" si="8"/>
        <v>1665959</v>
      </c>
      <c r="K23" s="332">
        <f t="shared" si="8"/>
        <v>55764446</v>
      </c>
      <c r="L23" s="332">
        <f t="shared" si="8"/>
        <v>738</v>
      </c>
      <c r="M23" s="113"/>
      <c r="N23" s="699">
        <f>SUM(F23:M23)</f>
        <v>70149601</v>
      </c>
      <c r="O23" s="331"/>
      <c r="P23" s="199"/>
    </row>
    <row r="24" spans="1:18" s="709" customFormat="1" ht="20.25" customHeight="1" thickBot="1" x14ac:dyDescent="0.25">
      <c r="A24" s="1769"/>
      <c r="B24" s="1779"/>
      <c r="C24" s="719" t="s">
        <v>256</v>
      </c>
      <c r="D24" s="720">
        <f t="shared" si="6"/>
        <v>0</v>
      </c>
      <c r="E24" s="720">
        <f t="shared" si="6"/>
        <v>0</v>
      </c>
      <c r="F24" s="720">
        <f t="shared" ref="F24:L24" si="9">F28+F32</f>
        <v>10352452</v>
      </c>
      <c r="G24" s="720">
        <f t="shared" si="9"/>
        <v>0</v>
      </c>
      <c r="H24" s="720">
        <f t="shared" si="9"/>
        <v>0</v>
      </c>
      <c r="I24" s="720">
        <f t="shared" si="9"/>
        <v>0</v>
      </c>
      <c r="J24" s="720">
        <f>J28+J32+1</f>
        <v>1665938</v>
      </c>
      <c r="K24" s="720">
        <f>K28+K32</f>
        <v>55764468</v>
      </c>
      <c r="L24" s="720">
        <f t="shared" si="9"/>
        <v>738</v>
      </c>
      <c r="M24" s="720">
        <f>M28+M32</f>
        <v>0</v>
      </c>
      <c r="N24" s="701">
        <f>SUM(F24:M24)-1</f>
        <v>67783595</v>
      </c>
      <c r="O24" s="742"/>
      <c r="P24" s="794"/>
    </row>
    <row r="25" spans="1:18" s="29" customFormat="1" ht="26.25" customHeight="1" x14ac:dyDescent="0.2">
      <c r="A25" s="1769"/>
      <c r="B25" s="1780" t="s">
        <v>54</v>
      </c>
      <c r="C25" s="686" t="s">
        <v>73</v>
      </c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678"/>
      <c r="P25" s="92"/>
    </row>
    <row r="26" spans="1:18" s="29" customFormat="1" ht="13.5" customHeight="1" x14ac:dyDescent="0.2">
      <c r="A26" s="1769"/>
      <c r="B26" s="1781"/>
      <c r="C26" s="322" t="s">
        <v>254</v>
      </c>
      <c r="D26" s="722"/>
      <c r="E26" s="722"/>
      <c r="F26" s="722">
        <f>'3 bevételek'!F154+'3 bevételek'!F202+'3 bevételek'!F250+'3 bevételek'!F298+'3 bevételek'!F346+'3 bevételek'!F394+'3 bevételek'!F442</f>
        <v>8890500</v>
      </c>
      <c r="G26" s="722"/>
      <c r="H26" s="722"/>
      <c r="I26" s="722"/>
      <c r="J26" s="722">
        <f>'5 kiadások'!N53</f>
        <v>1000000</v>
      </c>
      <c r="K26" s="722">
        <f>'5 kiadások'!R53-F26-J26-L26-M26</f>
        <v>35616122.950000003</v>
      </c>
      <c r="L26" s="722">
        <f>'3 bevételek'!F558</f>
        <v>0</v>
      </c>
      <c r="M26" s="722"/>
      <c r="N26" s="111">
        <f>SUM(F26:M26)</f>
        <v>45506622.950000003</v>
      </c>
      <c r="P26" s="92"/>
    </row>
    <row r="27" spans="1:18" s="29" customFormat="1" ht="17.25" customHeight="1" x14ac:dyDescent="0.2">
      <c r="A27" s="1769"/>
      <c r="B27" s="1781"/>
      <c r="C27" s="322" t="s">
        <v>255</v>
      </c>
      <c r="D27" s="722"/>
      <c r="E27" s="722"/>
      <c r="F27" s="722">
        <f>'3 bevételek'!F155+'3 bevételek'!F203+'3 bevételek'!F251+'3 bevételek'!F299+'3 bevételek'!F347+'3 bevételek'!F395+'3 bevételek'!F443</f>
        <v>9278722</v>
      </c>
      <c r="G27" s="722"/>
      <c r="H27" s="722"/>
      <c r="I27" s="722"/>
      <c r="J27" s="722">
        <f>'5 kiadások'!N54</f>
        <v>380047</v>
      </c>
      <c r="K27" s="722">
        <f>'5 kiadások'!R54-F27-J27-L27-M27</f>
        <v>40153621</v>
      </c>
      <c r="L27" s="722">
        <f>'3 bevételek'!F559</f>
        <v>738</v>
      </c>
      <c r="M27" s="722"/>
      <c r="N27" s="111">
        <f t="shared" ref="N27:N28" si="10">SUM(F27:M27)</f>
        <v>49813128</v>
      </c>
      <c r="P27" s="92"/>
    </row>
    <row r="28" spans="1:18" s="29" customFormat="1" ht="19.5" customHeight="1" x14ac:dyDescent="0.2">
      <c r="A28" s="1769"/>
      <c r="B28" s="1782"/>
      <c r="C28" s="322" t="s">
        <v>256</v>
      </c>
      <c r="D28" s="722"/>
      <c r="E28" s="722"/>
      <c r="F28" s="722">
        <f>'3 bevételek'!F156+'3 bevételek'!F204+'3 bevételek'!F252+'3 bevételek'!F300+'3 bevételek'!F348+'3 bevételek'!F396+'3 bevételek'!F444</f>
        <v>8843757</v>
      </c>
      <c r="G28" s="722"/>
      <c r="H28" s="722"/>
      <c r="I28" s="722"/>
      <c r="J28" s="722">
        <f>'5 kiadások'!N55</f>
        <v>380047</v>
      </c>
      <c r="K28" s="722">
        <f>'5 kiadások'!R55-F28-J28-L28-M28+87598</f>
        <v>38623041</v>
      </c>
      <c r="L28" s="722">
        <f>'3 bevételek'!F560</f>
        <v>738</v>
      </c>
      <c r="M28" s="722"/>
      <c r="N28" s="111">
        <f t="shared" si="10"/>
        <v>47847583</v>
      </c>
      <c r="P28" s="92"/>
      <c r="R28" s="92"/>
    </row>
    <row r="29" spans="1:18" s="29" customFormat="1" ht="24" customHeight="1" x14ac:dyDescent="0.2">
      <c r="A29" s="1769"/>
      <c r="B29" s="1780" t="s">
        <v>55</v>
      </c>
      <c r="C29" s="112" t="s">
        <v>72</v>
      </c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111"/>
      <c r="O29" s="93"/>
      <c r="P29" s="92"/>
      <c r="R29" s="92"/>
    </row>
    <row r="30" spans="1:18" s="29" customFormat="1" ht="17.25" customHeight="1" x14ac:dyDescent="0.2">
      <c r="A30" s="1769"/>
      <c r="B30" s="1781"/>
      <c r="C30" s="322" t="s">
        <v>254</v>
      </c>
      <c r="D30" s="722"/>
      <c r="E30" s="722"/>
      <c r="F30" s="722">
        <f>'3 bevételek'!F158+'3 bevételek'!F206+'3 bevételek'!F254+'3 bevételek'!F302+'3 bevételek'!F350+'3 bevételek'!F398+'3 bevételek'!F446</f>
        <v>2540500</v>
      </c>
      <c r="G30" s="722"/>
      <c r="H30" s="722"/>
      <c r="I30" s="722"/>
      <c r="J30" s="722">
        <f>'5 kiadások'!N57</f>
        <v>1000000</v>
      </c>
      <c r="K30" s="722">
        <f>'5 kiadások'!R57-'4 int-i bevételek '!F30-'4 int-i bevételek '!J30-'4 int-i bevételek '!L30-'4 int-i bevételek '!M30</f>
        <v>17705697.600000001</v>
      </c>
      <c r="L30" s="722"/>
      <c r="M30" s="722"/>
      <c r="N30" s="111">
        <f>SUM(F30:M30)</f>
        <v>21246197.600000001</v>
      </c>
      <c r="O30" s="93"/>
      <c r="P30" s="92"/>
    </row>
    <row r="31" spans="1:18" s="29" customFormat="1" ht="13.5" customHeight="1" x14ac:dyDescent="0.2">
      <c r="A31" s="1769"/>
      <c r="B31" s="1781"/>
      <c r="C31" s="322" t="s">
        <v>255</v>
      </c>
      <c r="D31" s="722"/>
      <c r="E31" s="722"/>
      <c r="F31" s="722">
        <f>'3 bevételek'!F159+'3 bevételek'!F207+'3 bevételek'!F255+'3 bevételek'!F303+'3 bevételek'!F351+'3 bevételek'!F399+'3 bevételek'!F447</f>
        <v>3439736</v>
      </c>
      <c r="G31" s="722"/>
      <c r="H31" s="722"/>
      <c r="I31" s="722"/>
      <c r="J31" s="722">
        <f>'5 kiadások'!N58</f>
        <v>1285912</v>
      </c>
      <c r="K31" s="722">
        <f>'5 kiadások'!R58-'4 int-i bevételek '!F31-'4 int-i bevételek '!J31-'4 int-i bevételek '!L31-'4 int-i bevételek '!M31</f>
        <v>15610825</v>
      </c>
      <c r="L31" s="722"/>
      <c r="M31" s="722"/>
      <c r="N31" s="111">
        <f t="shared" ref="N31:N32" si="11">SUM(F31:M31)</f>
        <v>20336473</v>
      </c>
      <c r="O31" s="93"/>
      <c r="P31" s="92"/>
    </row>
    <row r="32" spans="1:18" s="29" customFormat="1" ht="15" customHeight="1" thickBot="1" x14ac:dyDescent="0.25">
      <c r="A32" s="1770"/>
      <c r="B32" s="1782"/>
      <c r="C32" s="341" t="s">
        <v>256</v>
      </c>
      <c r="D32" s="723"/>
      <c r="E32" s="723"/>
      <c r="F32" s="722">
        <f>'3 bevételek'!F160+'3 bevételek'!F208+'3 bevételek'!F256+'3 bevételek'!F304+'3 bevételek'!F352+'3 bevételek'!F400+'3 bevételek'!F448</f>
        <v>1508695</v>
      </c>
      <c r="G32" s="723"/>
      <c r="H32" s="723"/>
      <c r="I32" s="723"/>
      <c r="J32" s="722">
        <f>'5 kiadások'!N59</f>
        <v>1285890</v>
      </c>
      <c r="K32" s="722">
        <f>'5 kiadások'!R59-'4 int-i bevételek '!F32-'4 int-i bevételek '!J32-'4 int-i bevételek '!L32-'4 int-i bevételek '!M32</f>
        <v>17141427</v>
      </c>
      <c r="L32" s="723"/>
      <c r="M32" s="723"/>
      <c r="N32" s="111">
        <f t="shared" si="11"/>
        <v>19936012</v>
      </c>
      <c r="O32" s="93"/>
      <c r="P32" s="92"/>
      <c r="Q32" s="92"/>
    </row>
    <row r="33" spans="1:17" ht="27.75" customHeight="1" x14ac:dyDescent="0.2">
      <c r="A33" s="1768">
        <v>3</v>
      </c>
      <c r="B33" s="1777" t="s">
        <v>54</v>
      </c>
      <c r="C33" s="702" t="s">
        <v>189</v>
      </c>
      <c r="D33" s="704"/>
      <c r="E33" s="704"/>
      <c r="F33" s="704"/>
      <c r="G33" s="704"/>
      <c r="H33" s="704"/>
      <c r="I33" s="704"/>
      <c r="J33" s="704"/>
      <c r="K33" s="704"/>
      <c r="L33" s="704"/>
      <c r="M33" s="703"/>
      <c r="N33" s="705"/>
      <c r="O33" s="91"/>
      <c r="P33" s="24"/>
    </row>
    <row r="34" spans="1:17" s="91" customFormat="1" ht="20.25" customHeight="1" x14ac:dyDescent="0.2">
      <c r="A34" s="1769"/>
      <c r="B34" s="1778"/>
      <c r="C34" s="706" t="s">
        <v>254</v>
      </c>
      <c r="D34" s="332"/>
      <c r="E34" s="332"/>
      <c r="F34" s="332">
        <f>'3 bevételek'!F402+'3 bevételek'!F450</f>
        <v>3000</v>
      </c>
      <c r="G34" s="332"/>
      <c r="H34" s="332"/>
      <c r="I34" s="332"/>
      <c r="J34" s="332">
        <f>'5 kiadások'!N85</f>
        <v>500000</v>
      </c>
      <c r="K34" s="332">
        <f>'5 kiadások'!R85-F34-J34-L34-M34</f>
        <v>48461908</v>
      </c>
      <c r="L34" s="332">
        <f>'3 bevételek'!F570</f>
        <v>0</v>
      </c>
      <c r="M34" s="113"/>
      <c r="N34" s="699">
        <f>SUM(F34:M34)</f>
        <v>48964908</v>
      </c>
      <c r="P34" s="24"/>
    </row>
    <row r="35" spans="1:17" s="91" customFormat="1" ht="20.25" customHeight="1" x14ac:dyDescent="0.2">
      <c r="A35" s="1769"/>
      <c r="B35" s="1778"/>
      <c r="C35" s="706" t="s">
        <v>255</v>
      </c>
      <c r="D35" s="332"/>
      <c r="E35" s="332"/>
      <c r="F35" s="332">
        <f>'3 bevételek'!F403+'3 bevételek'!F451</f>
        <v>5278</v>
      </c>
      <c r="G35" s="332"/>
      <c r="H35" s="332"/>
      <c r="I35" s="332"/>
      <c r="J35" s="332">
        <f>'5 kiadások'!N86</f>
        <v>76100</v>
      </c>
      <c r="K35" s="332">
        <f>'5 kiadások'!R86-F35-J35-L35-M35</f>
        <v>49771192</v>
      </c>
      <c r="L35" s="332">
        <f>'3 bevételek'!F571</f>
        <v>14456</v>
      </c>
      <c r="M35" s="113"/>
      <c r="N35" s="699">
        <f>SUM(F35:M35)</f>
        <v>49867026</v>
      </c>
      <c r="P35" s="24"/>
    </row>
    <row r="36" spans="1:17" s="91" customFormat="1" ht="18.75" customHeight="1" thickBot="1" x14ac:dyDescent="0.25">
      <c r="A36" s="1770"/>
      <c r="B36" s="1779"/>
      <c r="C36" s="719" t="s">
        <v>256</v>
      </c>
      <c r="D36" s="720"/>
      <c r="E36" s="720"/>
      <c r="F36" s="720">
        <f>'3 bevételek'!F404+'3 bevételek'!F452</f>
        <v>4893</v>
      </c>
      <c r="G36" s="720"/>
      <c r="H36" s="720"/>
      <c r="I36" s="720"/>
      <c r="J36" s="720">
        <f>'5 kiadások'!N87</f>
        <v>75000</v>
      </c>
      <c r="K36" s="720">
        <f>44864917-J36</f>
        <v>44789917</v>
      </c>
      <c r="L36" s="720">
        <f>'3 bevételek'!F572</f>
        <v>14456</v>
      </c>
      <c r="M36" s="1334"/>
      <c r="N36" s="701">
        <f>SUM(F36:M36)</f>
        <v>44884266</v>
      </c>
      <c r="P36" s="24"/>
    </row>
    <row r="37" spans="1:17" ht="20.25" customHeight="1" x14ac:dyDescent="0.2">
      <c r="A37" s="333"/>
      <c r="B37" s="1768"/>
      <c r="C37" s="1335" t="s">
        <v>223</v>
      </c>
      <c r="D37" s="1336"/>
      <c r="E37" s="1336"/>
      <c r="F37" s="1336"/>
      <c r="G37" s="1336"/>
      <c r="H37" s="1336"/>
      <c r="I37" s="1336"/>
      <c r="J37" s="1336"/>
      <c r="K37" s="1336"/>
      <c r="L37" s="1336"/>
      <c r="M37" s="1337"/>
      <c r="N37" s="678"/>
      <c r="O37" s="91"/>
      <c r="P37" s="24"/>
      <c r="Q37" s="91"/>
    </row>
    <row r="38" spans="1:17" s="91" customFormat="1" ht="15.75" customHeight="1" x14ac:dyDescent="0.2">
      <c r="A38" s="330"/>
      <c r="B38" s="1769"/>
      <c r="C38" s="322" t="s">
        <v>254</v>
      </c>
      <c r="D38" s="1338">
        <f t="shared" ref="D38:F39" si="12">D42+D46</f>
        <v>0</v>
      </c>
      <c r="E38" s="1338">
        <f t="shared" si="12"/>
        <v>0</v>
      </c>
      <c r="F38" s="1338">
        <f t="shared" si="12"/>
        <v>11814000</v>
      </c>
      <c r="G38" s="1338">
        <f t="shared" ref="G38:M38" si="13">G42+G46</f>
        <v>0</v>
      </c>
      <c r="H38" s="1338">
        <f t="shared" si="13"/>
        <v>0</v>
      </c>
      <c r="I38" s="1338">
        <f t="shared" si="13"/>
        <v>0</v>
      </c>
      <c r="J38" s="1338">
        <f t="shared" si="13"/>
        <v>3000000</v>
      </c>
      <c r="K38" s="1338">
        <f t="shared" si="13"/>
        <v>200027416.55000001</v>
      </c>
      <c r="L38" s="1338">
        <f t="shared" si="13"/>
        <v>0</v>
      </c>
      <c r="M38" s="1338">
        <f t="shared" si="13"/>
        <v>0</v>
      </c>
      <c r="N38" s="111">
        <f>SUM(F38:M38)</f>
        <v>214841416.55000001</v>
      </c>
      <c r="P38" s="24"/>
    </row>
    <row r="39" spans="1:17" s="91" customFormat="1" ht="16.5" customHeight="1" x14ac:dyDescent="0.2">
      <c r="A39" s="330"/>
      <c r="B39" s="1769"/>
      <c r="C39" s="322" t="s">
        <v>255</v>
      </c>
      <c r="D39" s="1338">
        <f t="shared" si="12"/>
        <v>746480</v>
      </c>
      <c r="E39" s="1338">
        <f t="shared" si="12"/>
        <v>0</v>
      </c>
      <c r="F39" s="1338">
        <f t="shared" si="12"/>
        <v>14182573</v>
      </c>
      <c r="G39" s="1338">
        <f t="shared" ref="G39:M39" si="14">G43+G47</f>
        <v>0</v>
      </c>
      <c r="H39" s="1338">
        <f t="shared" si="14"/>
        <v>0</v>
      </c>
      <c r="I39" s="1338">
        <f t="shared" si="14"/>
        <v>0</v>
      </c>
      <c r="J39" s="1338">
        <f t="shared" si="14"/>
        <v>2642059</v>
      </c>
      <c r="K39" s="1338">
        <f t="shared" si="14"/>
        <v>206107389</v>
      </c>
      <c r="L39" s="1338">
        <f t="shared" si="14"/>
        <v>202567</v>
      </c>
      <c r="M39" s="1338">
        <f t="shared" si="14"/>
        <v>0</v>
      </c>
      <c r="N39" s="111">
        <f>SUM(F39:M39)</f>
        <v>223134588</v>
      </c>
      <c r="P39" s="24"/>
    </row>
    <row r="40" spans="1:17" s="91" customFormat="1" ht="18" customHeight="1" x14ac:dyDescent="0.2">
      <c r="A40" s="330"/>
      <c r="B40" s="1770"/>
      <c r="C40" s="322" t="s">
        <v>256</v>
      </c>
      <c r="D40" s="1338"/>
      <c r="E40" s="1338"/>
      <c r="F40" s="1338">
        <f t="shared" ref="F40" si="15">F44+F48</f>
        <v>10861351</v>
      </c>
      <c r="G40" s="1338"/>
      <c r="H40" s="1338"/>
      <c r="I40" s="1338"/>
      <c r="J40" s="1338">
        <v>1646643</v>
      </c>
      <c r="K40" s="1338">
        <v>132389023</v>
      </c>
      <c r="L40" s="1338">
        <v>202567</v>
      </c>
      <c r="M40" s="1338"/>
      <c r="N40" s="111">
        <f>SUM(F40:M40)</f>
        <v>145099584</v>
      </c>
      <c r="P40" s="24"/>
    </row>
    <row r="41" spans="1:17" ht="23.25" customHeight="1" x14ac:dyDescent="0.2">
      <c r="A41" s="330"/>
      <c r="B41" s="1768" t="s">
        <v>54</v>
      </c>
      <c r="C41" s="112" t="s">
        <v>73</v>
      </c>
      <c r="D41" s="1338"/>
      <c r="E41" s="1338"/>
      <c r="F41" s="1338"/>
      <c r="G41" s="1338"/>
      <c r="H41" s="1338"/>
      <c r="I41" s="1338"/>
      <c r="J41" s="1338"/>
      <c r="K41" s="1338"/>
      <c r="L41" s="1338"/>
      <c r="M41" s="1339"/>
      <c r="N41" s="111"/>
      <c r="O41" s="114"/>
      <c r="P41" s="114"/>
    </row>
    <row r="42" spans="1:17" s="91" customFormat="1" ht="20.25" customHeight="1" x14ac:dyDescent="0.2">
      <c r="A42" s="330"/>
      <c r="B42" s="1769"/>
      <c r="C42" s="322" t="s">
        <v>254</v>
      </c>
      <c r="D42" s="1338">
        <f>D14+D26+D34</f>
        <v>0</v>
      </c>
      <c r="E42" s="1338">
        <f>E14+E26+E34</f>
        <v>0</v>
      </c>
      <c r="F42" s="1338">
        <f>F14+F26+F34</f>
        <v>9273500</v>
      </c>
      <c r="G42" s="1338">
        <f t="shared" ref="G42:M42" si="16">G14+G26+G34</f>
        <v>0</v>
      </c>
      <c r="H42" s="1338">
        <f t="shared" si="16"/>
        <v>0</v>
      </c>
      <c r="I42" s="1338">
        <f t="shared" si="16"/>
        <v>0</v>
      </c>
      <c r="J42" s="1338">
        <f t="shared" si="16"/>
        <v>1500000</v>
      </c>
      <c r="K42" s="1338">
        <f t="shared" si="16"/>
        <v>133859810.95</v>
      </c>
      <c r="L42" s="1338">
        <f t="shared" si="16"/>
        <v>0</v>
      </c>
      <c r="M42" s="1338">
        <f t="shared" si="16"/>
        <v>0</v>
      </c>
      <c r="N42" s="111">
        <f>SUM(F42:M42)</f>
        <v>144633310.94999999</v>
      </c>
      <c r="O42" s="114"/>
      <c r="P42" s="114"/>
    </row>
    <row r="43" spans="1:17" s="91" customFormat="1" ht="18" customHeight="1" x14ac:dyDescent="0.2">
      <c r="A43" s="330"/>
      <c r="B43" s="1769"/>
      <c r="C43" s="322" t="s">
        <v>255</v>
      </c>
      <c r="D43" s="1338">
        <f>D15+D27+D35</f>
        <v>746480</v>
      </c>
      <c r="E43" s="1338">
        <f>E15+E27+E35</f>
        <v>0</v>
      </c>
      <c r="F43" s="1338">
        <f t="shared" ref="F43:M44" si="17">F15+F27+F35</f>
        <v>10742837</v>
      </c>
      <c r="G43" s="1338">
        <f t="shared" si="17"/>
        <v>0</v>
      </c>
      <c r="H43" s="1338">
        <f t="shared" si="17"/>
        <v>0</v>
      </c>
      <c r="I43" s="1338">
        <f t="shared" si="17"/>
        <v>0</v>
      </c>
      <c r="J43" s="1338">
        <f t="shared" si="17"/>
        <v>1280047</v>
      </c>
      <c r="K43" s="1338">
        <f t="shared" si="17"/>
        <v>140725372</v>
      </c>
      <c r="L43" s="1338">
        <f t="shared" si="17"/>
        <v>202567</v>
      </c>
      <c r="M43" s="1338">
        <f t="shared" si="17"/>
        <v>0</v>
      </c>
      <c r="N43" s="111">
        <f>SUM(F43:M43)</f>
        <v>152950823</v>
      </c>
      <c r="O43" s="114"/>
      <c r="P43" s="114"/>
    </row>
    <row r="44" spans="1:17" s="91" customFormat="1" ht="20.25" customHeight="1" x14ac:dyDescent="0.2">
      <c r="A44" s="330"/>
      <c r="B44" s="1770"/>
      <c r="C44" s="322" t="s">
        <v>256</v>
      </c>
      <c r="D44" s="1338">
        <f>D16+D28+D36</f>
        <v>746480</v>
      </c>
      <c r="E44" s="1338">
        <f>E16+E28+E36</f>
        <v>0</v>
      </c>
      <c r="F44" s="1338">
        <f t="shared" si="17"/>
        <v>9352656</v>
      </c>
      <c r="G44" s="1338">
        <f t="shared" si="17"/>
        <v>0</v>
      </c>
      <c r="H44" s="1338">
        <f t="shared" si="17"/>
        <v>0</v>
      </c>
      <c r="I44" s="1338">
        <f t="shared" si="17"/>
        <v>0</v>
      </c>
      <c r="J44" s="1338">
        <f t="shared" si="17"/>
        <v>1277608</v>
      </c>
      <c r="K44" s="1338">
        <f t="shared" si="17"/>
        <v>131166669</v>
      </c>
      <c r="L44" s="1338">
        <f t="shared" si="17"/>
        <v>202567</v>
      </c>
      <c r="M44" s="1338">
        <f t="shared" si="17"/>
        <v>0</v>
      </c>
      <c r="N44" s="111">
        <f>SUM(F44:M44)</f>
        <v>141999500</v>
      </c>
      <c r="O44" s="114"/>
      <c r="P44" s="114"/>
    </row>
    <row r="45" spans="1:17" ht="33" customHeight="1" x14ac:dyDescent="0.2">
      <c r="A45" s="334"/>
      <c r="B45" s="1768" t="s">
        <v>55</v>
      </c>
      <c r="C45" s="112" t="s">
        <v>72</v>
      </c>
      <c r="D45" s="1338"/>
      <c r="E45" s="1338"/>
      <c r="F45" s="1338"/>
      <c r="G45" s="1338"/>
      <c r="H45" s="1338"/>
      <c r="I45" s="1338"/>
      <c r="J45" s="1338"/>
      <c r="K45" s="1338"/>
      <c r="L45" s="1338"/>
      <c r="M45" s="1339"/>
      <c r="N45" s="111"/>
      <c r="O45" s="24"/>
    </row>
    <row r="46" spans="1:17" s="91" customFormat="1" ht="18.75" customHeight="1" x14ac:dyDescent="0.2">
      <c r="A46" s="333"/>
      <c r="B46" s="1769"/>
      <c r="C46" s="322" t="s">
        <v>254</v>
      </c>
      <c r="D46" s="1338">
        <f t="shared" ref="D46:E48" si="18">D34+D30+D18</f>
        <v>0</v>
      </c>
      <c r="E46" s="1338">
        <f t="shared" si="18"/>
        <v>0</v>
      </c>
      <c r="F46" s="1338">
        <f>F30</f>
        <v>2540500</v>
      </c>
      <c r="G46" s="1338">
        <f t="shared" ref="G46:M46" si="19">G34+G30+G18</f>
        <v>0</v>
      </c>
      <c r="H46" s="1338">
        <f t="shared" si="19"/>
        <v>0</v>
      </c>
      <c r="I46" s="1338">
        <f t="shared" si="19"/>
        <v>0</v>
      </c>
      <c r="J46" s="1338">
        <f t="shared" si="19"/>
        <v>1500000</v>
      </c>
      <c r="K46" s="1338">
        <f t="shared" si="19"/>
        <v>66167605.600000001</v>
      </c>
      <c r="L46" s="1338">
        <f t="shared" si="19"/>
        <v>0</v>
      </c>
      <c r="M46" s="1338">
        <f t="shared" si="19"/>
        <v>0</v>
      </c>
      <c r="N46" s="111">
        <f>SUM(F46:M46)</f>
        <v>70208105.599999994</v>
      </c>
      <c r="O46" s="24"/>
    </row>
    <row r="47" spans="1:17" s="91" customFormat="1" ht="18.75" customHeight="1" x14ac:dyDescent="0.2">
      <c r="A47" s="330"/>
      <c r="B47" s="1769"/>
      <c r="C47" s="322" t="s">
        <v>255</v>
      </c>
      <c r="D47" s="1338">
        <f t="shared" si="18"/>
        <v>0</v>
      </c>
      <c r="E47" s="1338">
        <f t="shared" si="18"/>
        <v>0</v>
      </c>
      <c r="F47" s="1338">
        <f t="shared" ref="F47:F48" si="20">F31</f>
        <v>3439736</v>
      </c>
      <c r="G47" s="1338">
        <f t="shared" ref="G47:M48" si="21">G35+G31+G19</f>
        <v>0</v>
      </c>
      <c r="H47" s="1338">
        <f t="shared" si="21"/>
        <v>0</v>
      </c>
      <c r="I47" s="1338">
        <f t="shared" si="21"/>
        <v>0</v>
      </c>
      <c r="J47" s="1338">
        <f t="shared" si="21"/>
        <v>1362012</v>
      </c>
      <c r="K47" s="1338">
        <f t="shared" si="21"/>
        <v>65382017</v>
      </c>
      <c r="L47" s="1338">
        <v>0</v>
      </c>
      <c r="M47" s="1338">
        <f t="shared" si="21"/>
        <v>0</v>
      </c>
      <c r="N47" s="111">
        <f>SUM(F47:M47)</f>
        <v>70183765</v>
      </c>
      <c r="O47" s="24"/>
    </row>
    <row r="48" spans="1:17" s="91" customFormat="1" ht="22.5" customHeight="1" x14ac:dyDescent="0.2">
      <c r="A48" s="334"/>
      <c r="B48" s="1770"/>
      <c r="C48" s="322" t="s">
        <v>256</v>
      </c>
      <c r="D48" s="1338">
        <f t="shared" si="18"/>
        <v>0</v>
      </c>
      <c r="E48" s="1338">
        <f t="shared" si="18"/>
        <v>0</v>
      </c>
      <c r="F48" s="1338">
        <f t="shared" si="20"/>
        <v>1508695</v>
      </c>
      <c r="G48" s="1338">
        <f t="shared" si="21"/>
        <v>0</v>
      </c>
      <c r="H48" s="1338">
        <f t="shared" si="21"/>
        <v>0</v>
      </c>
      <c r="I48" s="1338">
        <f t="shared" si="21"/>
        <v>0</v>
      </c>
      <c r="J48" s="1338">
        <f t="shared" si="21"/>
        <v>1360890</v>
      </c>
      <c r="K48" s="1338">
        <f t="shared" si="21"/>
        <v>61931344</v>
      </c>
      <c r="L48" s="1338">
        <v>0</v>
      </c>
      <c r="M48" s="1338"/>
      <c r="N48" s="111">
        <f>SUM(F48:M48)</f>
        <v>64800929</v>
      </c>
      <c r="O48" s="24"/>
    </row>
    <row r="49" spans="3:13" x14ac:dyDescent="0.2">
      <c r="C49" s="1340"/>
      <c r="D49" s="1340"/>
      <c r="E49" s="1340"/>
      <c r="F49" s="1341"/>
      <c r="K49" s="1343"/>
    </row>
    <row r="50" spans="3:13" x14ac:dyDescent="0.2">
      <c r="K50" s="1343"/>
    </row>
    <row r="51" spans="3:13" x14ac:dyDescent="0.2">
      <c r="F51" s="1344"/>
      <c r="H51" s="1344"/>
      <c r="I51" s="1343"/>
      <c r="J51" s="67"/>
      <c r="K51" s="1343"/>
    </row>
    <row r="52" spans="3:13" x14ac:dyDescent="0.2">
      <c r="F52" s="1344"/>
      <c r="G52" s="1344"/>
      <c r="H52" s="1344"/>
      <c r="I52" s="1344"/>
      <c r="J52" s="1344"/>
      <c r="K52" s="1343"/>
    </row>
    <row r="53" spans="3:13" x14ac:dyDescent="0.2">
      <c r="H53" s="1344"/>
      <c r="I53" s="1343"/>
      <c r="J53" s="1343"/>
      <c r="K53" s="1343"/>
      <c r="L53" s="1343"/>
    </row>
    <row r="54" spans="3:13" x14ac:dyDescent="0.2">
      <c r="F54" s="1344"/>
      <c r="H54" s="1344"/>
      <c r="I54" s="1343"/>
      <c r="J54" s="1343"/>
      <c r="K54" s="1343"/>
    </row>
    <row r="55" spans="3:13" x14ac:dyDescent="0.2">
      <c r="F55" s="1344"/>
      <c r="I55" s="1343"/>
      <c r="J55" s="67"/>
      <c r="K55" s="67"/>
    </row>
    <row r="56" spans="3:13" x14ac:dyDescent="0.2">
      <c r="F56" s="1344"/>
      <c r="I56" s="1343"/>
      <c r="J56" s="67"/>
      <c r="K56" s="67"/>
    </row>
    <row r="57" spans="3:13" x14ac:dyDescent="0.2">
      <c r="F57" s="1344"/>
      <c r="I57" s="1343"/>
      <c r="J57" s="1343"/>
      <c r="K57" s="1343"/>
    </row>
    <row r="58" spans="3:13" x14ac:dyDescent="0.2">
      <c r="I58" s="1343"/>
      <c r="J58" s="67"/>
      <c r="K58" s="1343"/>
      <c r="M58" s="1343"/>
    </row>
    <row r="59" spans="3:13" x14ac:dyDescent="0.2">
      <c r="J59" s="1344"/>
      <c r="K59" s="1343"/>
      <c r="M59" s="1343"/>
    </row>
    <row r="60" spans="3:13" x14ac:dyDescent="0.2">
      <c r="J60" s="1343"/>
      <c r="K60" s="1343"/>
      <c r="M60" s="1343"/>
    </row>
    <row r="61" spans="3:13" x14ac:dyDescent="0.2">
      <c r="J61" s="1343"/>
      <c r="K61" s="1343"/>
      <c r="M61" s="1343"/>
    </row>
    <row r="62" spans="3:13" x14ac:dyDescent="0.2">
      <c r="I62" s="1343"/>
      <c r="J62" s="67"/>
      <c r="K62" s="67"/>
    </row>
    <row r="63" spans="3:13" x14ac:dyDescent="0.2">
      <c r="I63" s="1344"/>
      <c r="J63" s="1344"/>
      <c r="K63" s="1343"/>
    </row>
    <row r="64" spans="3:13" x14ac:dyDescent="0.2">
      <c r="I64" s="1343"/>
      <c r="J64" s="1343"/>
      <c r="K64" s="1343"/>
    </row>
    <row r="65" spans="11:11" x14ac:dyDescent="0.2">
      <c r="K65" s="1343"/>
    </row>
  </sheetData>
  <mergeCells count="34">
    <mergeCell ref="O21:P21"/>
    <mergeCell ref="N4:N8"/>
    <mergeCell ref="K1:N1"/>
    <mergeCell ref="M7:M8"/>
    <mergeCell ref="L7:L8"/>
    <mergeCell ref="L6:M6"/>
    <mergeCell ref="M3:N3"/>
    <mergeCell ref="K7:K8"/>
    <mergeCell ref="A4:A8"/>
    <mergeCell ref="C4:C8"/>
    <mergeCell ref="J4:M5"/>
    <mergeCell ref="J6:K6"/>
    <mergeCell ref="J7:J8"/>
    <mergeCell ref="I5:I8"/>
    <mergeCell ref="E5:E8"/>
    <mergeCell ref="F5:F8"/>
    <mergeCell ref="D5:D8"/>
    <mergeCell ref="G5:G8"/>
    <mergeCell ref="H5:H8"/>
    <mergeCell ref="B4:B8"/>
    <mergeCell ref="D4:I4"/>
    <mergeCell ref="A33:A36"/>
    <mergeCell ref="A9:A20"/>
    <mergeCell ref="B10:B12"/>
    <mergeCell ref="B45:B48"/>
    <mergeCell ref="B41:B44"/>
    <mergeCell ref="B37:B40"/>
    <mergeCell ref="B33:B36"/>
    <mergeCell ref="B29:B32"/>
    <mergeCell ref="B25:B28"/>
    <mergeCell ref="B21:B24"/>
    <mergeCell ref="A21:A32"/>
    <mergeCell ref="B13:B16"/>
    <mergeCell ref="B17:B20"/>
  </mergeCells>
  <phoneticPr fontId="0" type="noConversion"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4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93"/>
  <sheetViews>
    <sheetView tabSelected="1" zoomScale="80" zoomScaleNormal="80" zoomScaleSheetLayoutView="80" workbookViewId="0">
      <pane xSplit="1" ySplit="7" topLeftCell="O54" activePane="bottomRight" state="frozen"/>
      <selection activeCell="A5" sqref="A5"/>
      <selection pane="topRight" activeCell="B5" sqref="B5"/>
      <selection pane="bottomLeft" activeCell="A8" sqref="A8"/>
      <selection pane="bottomRight" activeCell="T1" sqref="T1:AI1048576"/>
    </sheetView>
  </sheetViews>
  <sheetFormatPr defaultRowHeight="15.75" customHeight="1" x14ac:dyDescent="0.2"/>
  <cols>
    <col min="1" max="1" width="4" style="66" hidden="1" customWidth="1"/>
    <col min="2" max="2" width="3.7109375" style="20" hidden="1" customWidth="1"/>
    <col min="3" max="3" width="5.42578125" style="190" customWidth="1"/>
    <col min="4" max="4" width="5.28515625" style="1467" customWidth="1"/>
    <col min="5" max="5" width="33" style="1013" customWidth="1"/>
    <col min="6" max="6" width="10.85546875" style="1013" customWidth="1"/>
    <col min="7" max="7" width="16.7109375" style="1013" customWidth="1"/>
    <col min="8" max="8" width="15.7109375" style="1013" customWidth="1"/>
    <col min="9" max="9" width="10.28515625" style="1013" customWidth="1"/>
    <col min="10" max="10" width="13.5703125" style="1013" customWidth="1"/>
    <col min="11" max="11" width="10.28515625" style="1013" customWidth="1"/>
    <col min="12" max="12" width="10.85546875" style="1013" customWidth="1"/>
    <col min="13" max="13" width="13.42578125" style="1468" customWidth="1"/>
    <col min="14" max="14" width="13.5703125" style="1013" customWidth="1"/>
    <col min="15" max="15" width="8.7109375" style="1013" customWidth="1"/>
    <col min="16" max="16" width="9.5703125" style="1013" customWidth="1"/>
    <col min="17" max="17" width="6.85546875" style="1013" customWidth="1"/>
    <col min="18" max="18" width="14.28515625" style="1468" customWidth="1"/>
    <col min="19" max="19" width="13.140625" style="482" customWidth="1"/>
    <col min="20" max="16384" width="9.140625" style="20"/>
  </cols>
  <sheetData>
    <row r="1" spans="1:19" ht="15.75" hidden="1" customHeight="1" x14ac:dyDescent="0.2">
      <c r="A1" s="75"/>
      <c r="B1" s="76"/>
      <c r="C1" s="189"/>
      <c r="D1" s="1345"/>
      <c r="E1" s="960"/>
      <c r="F1" s="960"/>
      <c r="G1" s="960"/>
      <c r="H1" s="960"/>
      <c r="I1" s="960"/>
      <c r="J1" s="960"/>
      <c r="K1" s="960"/>
      <c r="L1" s="960"/>
      <c r="M1" s="1346"/>
      <c r="N1" s="1347"/>
      <c r="O1" s="1821"/>
      <c r="P1" s="1821"/>
      <c r="Q1" s="1821"/>
      <c r="R1" s="1821"/>
      <c r="S1" s="1821"/>
    </row>
    <row r="2" spans="1:19" ht="17.25" hidden="1" customHeight="1" x14ac:dyDescent="0.2">
      <c r="A2" s="603"/>
      <c r="B2" s="604"/>
      <c r="C2" s="189"/>
      <c r="D2" s="1345"/>
      <c r="E2" s="960"/>
      <c r="F2" s="960"/>
      <c r="G2" s="960"/>
      <c r="H2" s="960"/>
      <c r="I2" s="960"/>
      <c r="J2" s="960"/>
      <c r="K2" s="960"/>
      <c r="L2" s="960"/>
      <c r="M2" s="1346"/>
      <c r="N2" s="1347"/>
      <c r="O2" s="1347"/>
      <c r="P2" s="1347"/>
      <c r="Q2" s="1347"/>
      <c r="R2" s="1346"/>
      <c r="S2" s="1348"/>
    </row>
    <row r="3" spans="1:19" ht="41.25" customHeight="1" x14ac:dyDescent="0.2">
      <c r="A3" s="603"/>
      <c r="B3" s="604"/>
      <c r="C3" s="189"/>
      <c r="D3" s="1345"/>
      <c r="E3" s="960"/>
      <c r="F3" s="960"/>
      <c r="G3" s="960"/>
      <c r="H3" s="960"/>
      <c r="I3" s="960"/>
      <c r="J3" s="960"/>
      <c r="K3" s="960"/>
      <c r="L3" s="960"/>
      <c r="M3" s="1346"/>
      <c r="N3" s="1347"/>
      <c r="O3" s="1347"/>
      <c r="P3" s="1347"/>
      <c r="Q3" s="1347"/>
      <c r="R3" s="1346"/>
      <c r="S3" s="1348"/>
    </row>
    <row r="4" spans="1:19" ht="24.75" customHeight="1" thickBot="1" x14ac:dyDescent="0.25">
      <c r="A4" s="603"/>
      <c r="B4" s="604"/>
      <c r="C4" s="189"/>
      <c r="D4" s="1345"/>
      <c r="E4" s="960"/>
      <c r="F4" s="960"/>
      <c r="G4" s="960"/>
      <c r="H4" s="960"/>
      <c r="I4" s="960"/>
      <c r="J4" s="960"/>
      <c r="K4" s="960"/>
      <c r="L4" s="960"/>
      <c r="M4" s="1346"/>
      <c r="N4" s="1347"/>
      <c r="O4" s="1347"/>
      <c r="P4" s="1347"/>
      <c r="Q4" s="1347"/>
      <c r="R4" s="1349"/>
      <c r="S4" s="1350"/>
    </row>
    <row r="5" spans="1:19" s="21" customFormat="1" ht="33" customHeight="1" thickBot="1" x14ac:dyDescent="0.25">
      <c r="A5" s="1833" t="s">
        <v>28</v>
      </c>
      <c r="B5" s="1834"/>
      <c r="C5" s="1844" t="s">
        <v>261</v>
      </c>
      <c r="D5" s="1824" t="s">
        <v>177</v>
      </c>
      <c r="E5" s="939" t="s">
        <v>29</v>
      </c>
      <c r="F5" s="939" t="s">
        <v>30</v>
      </c>
      <c r="G5" s="1182" t="s">
        <v>62</v>
      </c>
      <c r="H5" s="939" t="s">
        <v>31</v>
      </c>
      <c r="I5" s="1182" t="s">
        <v>126</v>
      </c>
      <c r="J5" s="1831" t="s">
        <v>49</v>
      </c>
      <c r="K5" s="1831"/>
      <c r="L5" s="1832"/>
      <c r="M5" s="940" t="s">
        <v>14</v>
      </c>
      <c r="N5" s="939" t="s">
        <v>32</v>
      </c>
      <c r="O5" s="1827" t="s">
        <v>27</v>
      </c>
      <c r="P5" s="1827"/>
      <c r="Q5" s="1828"/>
      <c r="R5" s="940" t="s">
        <v>21</v>
      </c>
      <c r="S5" s="1841" t="s">
        <v>251</v>
      </c>
    </row>
    <row r="6" spans="1:19" s="21" customFormat="1" ht="38.25" customHeight="1" x14ac:dyDescent="0.2">
      <c r="A6" s="1822" t="s">
        <v>33</v>
      </c>
      <c r="B6" s="1823"/>
      <c r="C6" s="1845"/>
      <c r="D6" s="1825"/>
      <c r="E6" s="941" t="s">
        <v>34</v>
      </c>
      <c r="F6" s="941" t="s">
        <v>50</v>
      </c>
      <c r="G6" s="942" t="s">
        <v>63</v>
      </c>
      <c r="H6" s="941" t="s">
        <v>35</v>
      </c>
      <c r="I6" s="942" t="s">
        <v>127</v>
      </c>
      <c r="J6" s="1829" t="s">
        <v>162</v>
      </c>
      <c r="K6" s="1837" t="s">
        <v>163</v>
      </c>
      <c r="L6" s="1837" t="s">
        <v>250</v>
      </c>
      <c r="M6" s="941" t="s">
        <v>36</v>
      </c>
      <c r="N6" s="941" t="s">
        <v>37</v>
      </c>
      <c r="O6" s="1829" t="s">
        <v>162</v>
      </c>
      <c r="P6" s="1829" t="s">
        <v>163</v>
      </c>
      <c r="Q6" s="1837" t="s">
        <v>164</v>
      </c>
      <c r="R6" s="941" t="s">
        <v>1</v>
      </c>
      <c r="S6" s="1842"/>
    </row>
    <row r="7" spans="1:19" s="21" customFormat="1" ht="68.25" customHeight="1" thickBot="1" x14ac:dyDescent="0.25">
      <c r="A7" s="1835" t="s">
        <v>38</v>
      </c>
      <c r="B7" s="1836"/>
      <c r="C7" s="1846"/>
      <c r="D7" s="1826"/>
      <c r="E7" s="943"/>
      <c r="F7" s="943"/>
      <c r="G7" s="1183" t="s">
        <v>64</v>
      </c>
      <c r="H7" s="943" t="s">
        <v>43</v>
      </c>
      <c r="I7" s="1183" t="s">
        <v>128</v>
      </c>
      <c r="J7" s="1830"/>
      <c r="K7" s="1839"/>
      <c r="L7" s="1838"/>
      <c r="M7" s="943" t="s">
        <v>1</v>
      </c>
      <c r="N7" s="943" t="s">
        <v>39</v>
      </c>
      <c r="O7" s="1830"/>
      <c r="P7" s="1840"/>
      <c r="Q7" s="1838"/>
      <c r="R7" s="943"/>
      <c r="S7" s="1843"/>
    </row>
    <row r="8" spans="1:19" s="21" customFormat="1" ht="15.75" customHeight="1" thickBot="1" x14ac:dyDescent="0.25">
      <c r="A8" s="555" t="s">
        <v>2</v>
      </c>
      <c r="B8" s="556"/>
      <c r="C8" s="1869">
        <v>1</v>
      </c>
      <c r="D8" s="1884"/>
      <c r="E8" s="1351" t="s">
        <v>207</v>
      </c>
      <c r="F8" s="961"/>
      <c r="G8" s="961"/>
      <c r="H8" s="961"/>
      <c r="I8" s="961"/>
      <c r="J8" s="961"/>
      <c r="K8" s="961"/>
      <c r="L8" s="961"/>
      <c r="M8" s="961"/>
      <c r="N8" s="961"/>
      <c r="O8" s="1352">
        <f>O14+O19</f>
        <v>0</v>
      </c>
      <c r="P8" s="1352">
        <f t="shared" ref="P8:Q8" si="0">P14+P19</f>
        <v>0</v>
      </c>
      <c r="Q8" s="1352">
        <f t="shared" si="0"/>
        <v>0</v>
      </c>
      <c r="R8" s="961"/>
      <c r="S8" s="1353"/>
    </row>
    <row r="9" spans="1:19" s="21" customFormat="1" ht="15.75" customHeight="1" thickBot="1" x14ac:dyDescent="0.25">
      <c r="A9" s="146"/>
      <c r="B9" s="556"/>
      <c r="C9" s="1870"/>
      <c r="D9" s="1885"/>
      <c r="E9" s="1354" t="s">
        <v>254</v>
      </c>
      <c r="F9" s="962">
        <f>F13+F17</f>
        <v>32876092</v>
      </c>
      <c r="G9" s="962">
        <f t="shared" ref="G9:L9" si="1">G13+G17</f>
        <v>7266688</v>
      </c>
      <c r="H9" s="962">
        <f t="shared" si="1"/>
        <v>8100000</v>
      </c>
      <c r="I9" s="962">
        <f>I13+I17</f>
        <v>1819000</v>
      </c>
      <c r="J9" s="962">
        <f t="shared" si="1"/>
        <v>0</v>
      </c>
      <c r="K9" s="962">
        <f t="shared" si="1"/>
        <v>0</v>
      </c>
      <c r="L9" s="962">
        <f t="shared" si="1"/>
        <v>0</v>
      </c>
      <c r="M9" s="961">
        <f t="shared" ref="M9:M19" si="2">SUM(F9:L9)</f>
        <v>50061780</v>
      </c>
      <c r="N9" s="961">
        <f>N13+N17</f>
        <v>100000</v>
      </c>
      <c r="O9" s="961">
        <f t="shared" ref="O9:Q9" si="3">O13+O17</f>
        <v>0</v>
      </c>
      <c r="P9" s="961">
        <f t="shared" si="3"/>
        <v>0</v>
      </c>
      <c r="Q9" s="961">
        <f t="shared" si="3"/>
        <v>0</v>
      </c>
      <c r="R9" s="961">
        <f>SUM(M9:Q9)</f>
        <v>50161780</v>
      </c>
      <c r="S9" s="1353">
        <f>S13+S17</f>
        <v>9.5</v>
      </c>
    </row>
    <row r="10" spans="1:19" s="21" customFormat="1" ht="15.75" customHeight="1" thickBot="1" x14ac:dyDescent="0.25">
      <c r="A10" s="146"/>
      <c r="B10" s="556"/>
      <c r="C10" s="1870"/>
      <c r="D10" s="1885"/>
      <c r="E10" s="1354" t="s">
        <v>255</v>
      </c>
      <c r="F10" s="962">
        <f t="shared" ref="F10:L11" si="4">F14+F18</f>
        <v>33391092</v>
      </c>
      <c r="G10" s="962">
        <f t="shared" si="4"/>
        <v>7351674</v>
      </c>
      <c r="H10" s="962">
        <f t="shared" si="4"/>
        <v>10631483</v>
      </c>
      <c r="I10" s="962">
        <f t="shared" si="4"/>
        <v>1819000</v>
      </c>
      <c r="J10" s="962">
        <f t="shared" si="4"/>
        <v>0</v>
      </c>
      <c r="K10" s="962">
        <f t="shared" si="4"/>
        <v>0</v>
      </c>
      <c r="L10" s="962">
        <f t="shared" si="4"/>
        <v>0</v>
      </c>
      <c r="M10" s="961">
        <f t="shared" si="2"/>
        <v>53193249</v>
      </c>
      <c r="N10" s="961">
        <f t="shared" ref="N10:N11" si="5">N14+N18</f>
        <v>823900</v>
      </c>
      <c r="O10" s="961">
        <f t="shared" ref="O10:Q11" si="6">O14+O18</f>
        <v>0</v>
      </c>
      <c r="P10" s="961">
        <f t="shared" si="6"/>
        <v>0</v>
      </c>
      <c r="Q10" s="961">
        <f t="shared" si="6"/>
        <v>0</v>
      </c>
      <c r="R10" s="961">
        <f t="shared" ref="R10:R11" si="7">SUM(M10:Q10)</f>
        <v>54017149</v>
      </c>
      <c r="S10" s="1353">
        <f t="shared" ref="S10:S11" si="8">S14+S18</f>
        <v>9.5</v>
      </c>
    </row>
    <row r="11" spans="1:19" s="21" customFormat="1" ht="15.75" customHeight="1" thickBot="1" x14ac:dyDescent="0.25">
      <c r="A11" s="146"/>
      <c r="B11" s="556"/>
      <c r="C11" s="1870"/>
      <c r="D11" s="1886"/>
      <c r="E11" s="1355" t="s">
        <v>256</v>
      </c>
      <c r="F11" s="962">
        <f t="shared" si="4"/>
        <v>30881336</v>
      </c>
      <c r="G11" s="962">
        <f t="shared" si="4"/>
        <v>6263528</v>
      </c>
      <c r="H11" s="962">
        <f t="shared" si="4"/>
        <v>10477399</v>
      </c>
      <c r="I11" s="962">
        <f t="shared" si="4"/>
        <v>1516000</v>
      </c>
      <c r="J11" s="962">
        <f t="shared" si="4"/>
        <v>0</v>
      </c>
      <c r="K11" s="962">
        <f t="shared" si="4"/>
        <v>0</v>
      </c>
      <c r="L11" s="962">
        <f t="shared" si="4"/>
        <v>0</v>
      </c>
      <c r="M11" s="961">
        <f t="shared" si="2"/>
        <v>49138263</v>
      </c>
      <c r="N11" s="961">
        <f t="shared" si="5"/>
        <v>822561</v>
      </c>
      <c r="O11" s="961">
        <f t="shared" si="6"/>
        <v>0</v>
      </c>
      <c r="P11" s="961">
        <f t="shared" si="6"/>
        <v>0</v>
      </c>
      <c r="Q11" s="961">
        <f t="shared" si="6"/>
        <v>0</v>
      </c>
      <c r="R11" s="961">
        <f t="shared" si="7"/>
        <v>49960824</v>
      </c>
      <c r="S11" s="1353">
        <f t="shared" si="8"/>
        <v>9.5</v>
      </c>
    </row>
    <row r="12" spans="1:19" s="21" customFormat="1" ht="15.75" customHeight="1" thickBot="1" x14ac:dyDescent="0.25">
      <c r="A12" s="146"/>
      <c r="B12" s="556"/>
      <c r="C12" s="1870"/>
      <c r="D12" s="1884" t="s">
        <v>54</v>
      </c>
      <c r="E12" s="1356" t="s">
        <v>65</v>
      </c>
      <c r="F12" s="961"/>
      <c r="G12" s="961"/>
      <c r="H12" s="961"/>
      <c r="I12" s="961"/>
      <c r="J12" s="961"/>
      <c r="K12" s="961"/>
      <c r="L12" s="961"/>
      <c r="M12" s="961"/>
      <c r="N12" s="961"/>
      <c r="O12" s="1352"/>
      <c r="P12" s="1352"/>
      <c r="Q12" s="1352"/>
      <c r="R12" s="961"/>
      <c r="S12" s="1353"/>
    </row>
    <row r="13" spans="1:19" s="21" customFormat="1" ht="15.75" customHeight="1" thickBot="1" x14ac:dyDescent="0.25">
      <c r="A13" s="146"/>
      <c r="B13" s="556"/>
      <c r="C13" s="1870"/>
      <c r="D13" s="1885"/>
      <c r="E13" s="1357" t="s">
        <v>254</v>
      </c>
      <c r="F13" s="961">
        <f>F25+F33+F37</f>
        <v>32876092</v>
      </c>
      <c r="G13" s="961">
        <f t="shared" ref="G13:L13" si="9">G25+G33+G37</f>
        <v>7266688</v>
      </c>
      <c r="H13" s="961">
        <f t="shared" si="9"/>
        <v>8100000</v>
      </c>
      <c r="I13" s="961">
        <f>I25+I33+I37+I41</f>
        <v>1819000</v>
      </c>
      <c r="J13" s="961">
        <f t="shared" si="9"/>
        <v>0</v>
      </c>
      <c r="K13" s="961">
        <f t="shared" si="9"/>
        <v>0</v>
      </c>
      <c r="L13" s="961">
        <f t="shared" si="9"/>
        <v>0</v>
      </c>
      <c r="M13" s="961">
        <f t="shared" si="2"/>
        <v>50061780</v>
      </c>
      <c r="N13" s="961">
        <f>N25+N33+N41</f>
        <v>100000</v>
      </c>
      <c r="O13" s="1352"/>
      <c r="P13" s="1352"/>
      <c r="Q13" s="1352"/>
      <c r="R13" s="961">
        <f>M13+N13</f>
        <v>50161780</v>
      </c>
      <c r="S13" s="1353">
        <v>9.5</v>
      </c>
    </row>
    <row r="14" spans="1:19" s="21" customFormat="1" ht="15.75" customHeight="1" thickBot="1" x14ac:dyDescent="0.25">
      <c r="A14" s="557"/>
      <c r="B14" s="556"/>
      <c r="C14" s="1870"/>
      <c r="D14" s="1885"/>
      <c r="E14" s="1357" t="s">
        <v>255</v>
      </c>
      <c r="F14" s="961">
        <f>F22+F34+F38</f>
        <v>33391092</v>
      </c>
      <c r="G14" s="961">
        <f t="shared" ref="G14:H14" si="10">G26+G34+G38</f>
        <v>7351674</v>
      </c>
      <c r="H14" s="961">
        <f t="shared" si="10"/>
        <v>10631483</v>
      </c>
      <c r="I14" s="961">
        <f t="shared" ref="I14:L15" si="11">I26+I34+I42</f>
        <v>1819000</v>
      </c>
      <c r="J14" s="961">
        <f t="shared" si="11"/>
        <v>0</v>
      </c>
      <c r="K14" s="961">
        <f t="shared" si="11"/>
        <v>0</v>
      </c>
      <c r="L14" s="961">
        <f t="shared" si="11"/>
        <v>0</v>
      </c>
      <c r="M14" s="961">
        <f t="shared" si="2"/>
        <v>53193249</v>
      </c>
      <c r="N14" s="961">
        <f>N26+N34+N42</f>
        <v>823900</v>
      </c>
      <c r="O14" s="1358">
        <f>O26</f>
        <v>0</v>
      </c>
      <c r="P14" s="1359">
        <f>P22</f>
        <v>0</v>
      </c>
      <c r="Q14" s="1358"/>
      <c r="R14" s="961">
        <f t="shared" ref="R14:R15" si="12">M14+N14</f>
        <v>54017149</v>
      </c>
      <c r="S14" s="1360">
        <v>9.5</v>
      </c>
    </row>
    <row r="15" spans="1:19" s="21" customFormat="1" ht="15.75" customHeight="1" thickBot="1" x14ac:dyDescent="0.25">
      <c r="A15" s="146"/>
      <c r="B15" s="559"/>
      <c r="C15" s="1870"/>
      <c r="D15" s="1886"/>
      <c r="E15" s="1361" t="s">
        <v>256</v>
      </c>
      <c r="F15" s="961">
        <f t="shared" ref="F15" si="13">F27+F35+F39</f>
        <v>30881336</v>
      </c>
      <c r="G15" s="961">
        <f>G27+G35+G43+G39</f>
        <v>6263528</v>
      </c>
      <c r="H15" s="961">
        <f>H27+H35+H43+H39</f>
        <v>10477399</v>
      </c>
      <c r="I15" s="961">
        <f t="shared" si="11"/>
        <v>1516000</v>
      </c>
      <c r="J15" s="961">
        <f t="shared" si="11"/>
        <v>0</v>
      </c>
      <c r="K15" s="961">
        <f t="shared" si="11"/>
        <v>0</v>
      </c>
      <c r="L15" s="961">
        <f t="shared" si="11"/>
        <v>0</v>
      </c>
      <c r="M15" s="961">
        <f t="shared" si="2"/>
        <v>49138263</v>
      </c>
      <c r="N15" s="961">
        <f>N27+N35+N43</f>
        <v>822561</v>
      </c>
      <c r="O15" s="1352"/>
      <c r="P15" s="1362"/>
      <c r="Q15" s="1352"/>
      <c r="R15" s="961">
        <f t="shared" si="12"/>
        <v>49960824</v>
      </c>
      <c r="S15" s="1360">
        <v>9.5</v>
      </c>
    </row>
    <row r="16" spans="1:19" s="21" customFormat="1" ht="15.75" customHeight="1" thickBot="1" x14ac:dyDescent="0.25">
      <c r="A16" s="146"/>
      <c r="B16" s="559"/>
      <c r="C16" s="1870"/>
      <c r="D16" s="1884" t="s">
        <v>55</v>
      </c>
      <c r="E16" s="1356" t="s">
        <v>66</v>
      </c>
      <c r="F16" s="961"/>
      <c r="G16" s="961"/>
      <c r="H16" s="961"/>
      <c r="I16" s="961"/>
      <c r="J16" s="961"/>
      <c r="K16" s="961"/>
      <c r="L16" s="961"/>
      <c r="M16" s="961"/>
      <c r="N16" s="961"/>
      <c r="O16" s="1352"/>
      <c r="P16" s="1362"/>
      <c r="Q16" s="1352"/>
      <c r="R16" s="961"/>
      <c r="S16" s="1353"/>
    </row>
    <row r="17" spans="1:19" s="21" customFormat="1" ht="15.75" customHeight="1" thickBot="1" x14ac:dyDescent="0.25">
      <c r="A17" s="146"/>
      <c r="B17" s="559"/>
      <c r="C17" s="1870"/>
      <c r="D17" s="1885"/>
      <c r="E17" s="1357" t="s">
        <v>254</v>
      </c>
      <c r="F17" s="961"/>
      <c r="G17" s="961"/>
      <c r="H17" s="961"/>
      <c r="I17" s="961"/>
      <c r="J17" s="961"/>
      <c r="K17" s="961"/>
      <c r="L17" s="961"/>
      <c r="M17" s="961">
        <v>0</v>
      </c>
      <c r="N17" s="961"/>
      <c r="O17" s="1352"/>
      <c r="P17" s="1362"/>
      <c r="Q17" s="1352"/>
      <c r="R17" s="961">
        <v>0</v>
      </c>
      <c r="S17" s="1353">
        <v>0</v>
      </c>
    </row>
    <row r="18" spans="1:19" s="21" customFormat="1" ht="15.75" customHeight="1" thickBot="1" x14ac:dyDescent="0.25">
      <c r="A18" s="146"/>
      <c r="B18" s="559"/>
      <c r="C18" s="1870"/>
      <c r="D18" s="1885"/>
      <c r="E18" s="1357" t="s">
        <v>255</v>
      </c>
      <c r="F18" s="961"/>
      <c r="G18" s="961"/>
      <c r="H18" s="961"/>
      <c r="I18" s="961"/>
      <c r="J18" s="961"/>
      <c r="K18" s="961"/>
      <c r="L18" s="961"/>
      <c r="M18" s="961">
        <v>0</v>
      </c>
      <c r="N18" s="961"/>
      <c r="O18" s="1352"/>
      <c r="P18" s="1362"/>
      <c r="Q18" s="1352"/>
      <c r="R18" s="961">
        <v>0</v>
      </c>
      <c r="S18" s="1353">
        <v>0</v>
      </c>
    </row>
    <row r="19" spans="1:19" s="21" customFormat="1" ht="15.75" customHeight="1" thickBot="1" x14ac:dyDescent="0.25">
      <c r="A19" s="558"/>
      <c r="B19" s="559"/>
      <c r="C19" s="1871"/>
      <c r="D19" s="1886"/>
      <c r="E19" s="147" t="s">
        <v>256</v>
      </c>
      <c r="F19" s="962"/>
      <c r="G19" s="961"/>
      <c r="H19" s="961"/>
      <c r="I19" s="961"/>
      <c r="J19" s="961"/>
      <c r="K19" s="961"/>
      <c r="L19" s="961"/>
      <c r="M19" s="961">
        <f t="shared" si="2"/>
        <v>0</v>
      </c>
      <c r="N19" s="961">
        <f>N30</f>
        <v>0</v>
      </c>
      <c r="O19" s="1352">
        <f>O30</f>
        <v>0</v>
      </c>
      <c r="P19" s="1362"/>
      <c r="Q19" s="1352"/>
      <c r="R19" s="961">
        <f t="shared" ref="R19:R47" si="14">SUM(M19:Q19)</f>
        <v>0</v>
      </c>
      <c r="S19" s="1353">
        <v>0</v>
      </c>
    </row>
    <row r="20" spans="1:19" s="21" customFormat="1" ht="15.75" customHeight="1" x14ac:dyDescent="0.2">
      <c r="A20" s="154"/>
      <c r="B20" s="155"/>
      <c r="C20" s="1872" t="s">
        <v>47</v>
      </c>
      <c r="D20" s="1888" t="s">
        <v>54</v>
      </c>
      <c r="E20" s="1363" t="s">
        <v>617</v>
      </c>
      <c r="F20" s="963"/>
      <c r="G20" s="963"/>
      <c r="H20" s="963"/>
      <c r="I20" s="963"/>
      <c r="J20" s="963"/>
      <c r="K20" s="963"/>
      <c r="L20" s="963"/>
      <c r="M20" s="963"/>
      <c r="N20" s="963"/>
      <c r="O20" s="1364"/>
      <c r="P20" s="1365"/>
      <c r="Q20" s="1364"/>
      <c r="R20" s="963"/>
      <c r="S20" s="1366"/>
    </row>
    <row r="21" spans="1:19" s="21" customFormat="1" ht="15.75" customHeight="1" x14ac:dyDescent="0.2">
      <c r="A21" s="154"/>
      <c r="B21" s="155"/>
      <c r="C21" s="1873"/>
      <c r="D21" s="1867"/>
      <c r="E21" s="1027" t="s">
        <v>254</v>
      </c>
      <c r="F21" s="964">
        <f>F25+F29</f>
        <v>29572283</v>
      </c>
      <c r="G21" s="964">
        <f t="shared" ref="G21:L21" si="15">G25+G29</f>
        <v>6505902</v>
      </c>
      <c r="H21" s="964">
        <f t="shared" si="15"/>
        <v>8100000</v>
      </c>
      <c r="I21" s="964">
        <f t="shared" si="15"/>
        <v>0</v>
      </c>
      <c r="J21" s="964">
        <f t="shared" si="15"/>
        <v>0</v>
      </c>
      <c r="K21" s="964">
        <f t="shared" si="15"/>
        <v>0</v>
      </c>
      <c r="L21" s="964">
        <f t="shared" si="15"/>
        <v>0</v>
      </c>
      <c r="M21" s="964">
        <f>SUM(F21:L21)</f>
        <v>44178185</v>
      </c>
      <c r="N21" s="964">
        <f>N25+N29</f>
        <v>100000</v>
      </c>
      <c r="O21" s="964">
        <f t="shared" ref="O21:Q21" si="16">O25+O29</f>
        <v>0</v>
      </c>
      <c r="P21" s="964">
        <f t="shared" si="16"/>
        <v>0</v>
      </c>
      <c r="Q21" s="964">
        <f t="shared" si="16"/>
        <v>0</v>
      </c>
      <c r="R21" s="964">
        <f>SUM(M21:Q21)</f>
        <v>44278185</v>
      </c>
      <c r="S21" s="885">
        <f>S25+S33</f>
        <v>9.5</v>
      </c>
    </row>
    <row r="22" spans="1:19" s="21" customFormat="1" ht="15.75" customHeight="1" x14ac:dyDescent="0.2">
      <c r="A22" s="560"/>
      <c r="B22" s="561">
        <v>1.1000000000000001</v>
      </c>
      <c r="C22" s="1873"/>
      <c r="D22" s="1867"/>
      <c r="E22" s="1027" t="s">
        <v>255</v>
      </c>
      <c r="F22" s="964">
        <f>F26+F30</f>
        <v>29545053</v>
      </c>
      <c r="G22" s="964">
        <f>G26+G30</f>
        <v>6477218</v>
      </c>
      <c r="H22" s="964">
        <f t="shared" ref="H22:L22" si="17">H26+H30</f>
        <v>10392042</v>
      </c>
      <c r="I22" s="964">
        <f t="shared" si="17"/>
        <v>0</v>
      </c>
      <c r="J22" s="964">
        <f t="shared" si="17"/>
        <v>0</v>
      </c>
      <c r="K22" s="964">
        <f t="shared" si="17"/>
        <v>0</v>
      </c>
      <c r="L22" s="964">
        <f t="shared" si="17"/>
        <v>0</v>
      </c>
      <c r="M22" s="964">
        <f t="shared" ref="M22:M23" si="18">SUM(F22:L22)</f>
        <v>46414313</v>
      </c>
      <c r="N22" s="964">
        <f t="shared" ref="N22:Q23" si="19">N26+N30</f>
        <v>823900</v>
      </c>
      <c r="O22" s="964">
        <f t="shared" si="19"/>
        <v>0</v>
      </c>
      <c r="P22" s="964">
        <f t="shared" si="19"/>
        <v>0</v>
      </c>
      <c r="Q22" s="964">
        <f t="shared" si="19"/>
        <v>0</v>
      </c>
      <c r="R22" s="964">
        <f t="shared" ref="R22:R23" si="20">SUM(M22:Q22)</f>
        <v>47238213</v>
      </c>
      <c r="S22" s="885">
        <f>S26+S34</f>
        <v>9.5</v>
      </c>
    </row>
    <row r="23" spans="1:19" s="21" customFormat="1" ht="15.75" customHeight="1" thickBot="1" x14ac:dyDescent="0.25">
      <c r="A23" s="560"/>
      <c r="B23" s="561"/>
      <c r="C23" s="1873"/>
      <c r="D23" s="1867"/>
      <c r="E23" s="1367" t="s">
        <v>256</v>
      </c>
      <c r="F23" s="964">
        <f>F27+F31</f>
        <v>27093813</v>
      </c>
      <c r="G23" s="964">
        <f t="shared" ref="G23:L23" si="21">G27+G31</f>
        <v>5597843</v>
      </c>
      <c r="H23" s="964">
        <f t="shared" si="21"/>
        <v>10238178</v>
      </c>
      <c r="I23" s="964">
        <f t="shared" si="21"/>
        <v>0</v>
      </c>
      <c r="J23" s="964">
        <f t="shared" si="21"/>
        <v>0</v>
      </c>
      <c r="K23" s="964">
        <f t="shared" si="21"/>
        <v>0</v>
      </c>
      <c r="L23" s="964">
        <f t="shared" si="21"/>
        <v>0</v>
      </c>
      <c r="M23" s="989">
        <f t="shared" si="18"/>
        <v>42929834</v>
      </c>
      <c r="N23" s="989">
        <f t="shared" si="19"/>
        <v>822561</v>
      </c>
      <c r="O23" s="989">
        <f t="shared" si="19"/>
        <v>0</v>
      </c>
      <c r="P23" s="989">
        <f t="shared" si="19"/>
        <v>0</v>
      </c>
      <c r="Q23" s="989">
        <f t="shared" si="19"/>
        <v>0</v>
      </c>
      <c r="R23" s="989">
        <f t="shared" si="20"/>
        <v>43752395</v>
      </c>
      <c r="S23" s="885">
        <f>S27+S35</f>
        <v>9.5</v>
      </c>
    </row>
    <row r="24" spans="1:19" s="21" customFormat="1" ht="15.75" customHeight="1" x14ac:dyDescent="0.2">
      <c r="A24" s="560"/>
      <c r="B24" s="561"/>
      <c r="C24" s="1873"/>
      <c r="D24" s="1867"/>
      <c r="E24" s="1368" t="s">
        <v>65</v>
      </c>
      <c r="F24" s="965"/>
      <c r="G24" s="966"/>
      <c r="H24" s="967"/>
      <c r="I24" s="968"/>
      <c r="J24" s="968"/>
      <c r="K24" s="1369"/>
      <c r="L24" s="1370"/>
      <c r="M24" s="981"/>
      <c r="N24" s="981"/>
      <c r="O24" s="983"/>
      <c r="P24" s="1371"/>
      <c r="Q24" s="983"/>
      <c r="R24" s="981"/>
      <c r="S24" s="1372"/>
    </row>
    <row r="25" spans="1:19" s="21" customFormat="1" ht="15.75" customHeight="1" x14ac:dyDescent="0.2">
      <c r="A25" s="560"/>
      <c r="B25" s="561"/>
      <c r="C25" s="1873"/>
      <c r="D25" s="1867"/>
      <c r="E25" s="1027" t="s">
        <v>254</v>
      </c>
      <c r="F25" s="969">
        <v>29572283</v>
      </c>
      <c r="G25" s="970">
        <v>6505902</v>
      </c>
      <c r="H25" s="971">
        <v>8100000</v>
      </c>
      <c r="I25" s="972"/>
      <c r="J25" s="972"/>
      <c r="K25" s="1373"/>
      <c r="L25" s="975"/>
      <c r="M25" s="964">
        <f>SUM(F25:L25)</f>
        <v>44178185</v>
      </c>
      <c r="N25" s="964">
        <v>100000</v>
      </c>
      <c r="O25" s="977"/>
      <c r="P25" s="1374"/>
      <c r="Q25" s="977"/>
      <c r="R25" s="964">
        <f>SUM(M25:Q25)</f>
        <v>44278185</v>
      </c>
      <c r="S25" s="880">
        <v>8.5</v>
      </c>
    </row>
    <row r="26" spans="1:19" s="21" customFormat="1" ht="15.75" customHeight="1" x14ac:dyDescent="0.2">
      <c r="A26" s="562"/>
      <c r="B26" s="563"/>
      <c r="C26" s="1873"/>
      <c r="D26" s="1867"/>
      <c r="E26" s="1027" t="s">
        <v>255</v>
      </c>
      <c r="F26" s="969">
        <f>29572283-27230</f>
        <v>29545053</v>
      </c>
      <c r="G26" s="970">
        <f>6505902-28684</f>
        <v>6477218</v>
      </c>
      <c r="H26" s="973">
        <f>10631483-H34-H38</f>
        <v>10392042</v>
      </c>
      <c r="I26" s="972"/>
      <c r="J26" s="972"/>
      <c r="K26" s="1373"/>
      <c r="L26" s="975"/>
      <c r="M26" s="964">
        <f t="shared" ref="M26:M35" si="22">SUM(F26:L26)</f>
        <v>46414313</v>
      </c>
      <c r="N26" s="1054">
        <f>823900</f>
        <v>823900</v>
      </c>
      <c r="O26" s="977"/>
      <c r="P26" s="1375">
        <v>0</v>
      </c>
      <c r="Q26" s="977"/>
      <c r="R26" s="964">
        <f t="shared" ref="R26:R35" si="23">SUM(M26:Q26)</f>
        <v>47238213</v>
      </c>
      <c r="S26" s="880">
        <v>8.5</v>
      </c>
    </row>
    <row r="27" spans="1:19" s="21" customFormat="1" ht="15.75" customHeight="1" x14ac:dyDescent="0.2">
      <c r="A27" s="562"/>
      <c r="B27" s="563"/>
      <c r="C27" s="1873"/>
      <c r="D27" s="1867"/>
      <c r="E27" s="1027" t="s">
        <v>256</v>
      </c>
      <c r="F27" s="969">
        <v>27093813</v>
      </c>
      <c r="G27" s="970">
        <v>5597843</v>
      </c>
      <c r="H27" s="973">
        <f>10222398+15780</f>
        <v>10238178</v>
      </c>
      <c r="I27" s="972"/>
      <c r="J27" s="972"/>
      <c r="K27" s="1373"/>
      <c r="L27" s="975"/>
      <c r="M27" s="964">
        <f t="shared" si="22"/>
        <v>42929834</v>
      </c>
      <c r="N27" s="1054">
        <v>822561</v>
      </c>
      <c r="O27" s="977"/>
      <c r="P27" s="1375"/>
      <c r="Q27" s="977"/>
      <c r="R27" s="964">
        <f t="shared" si="23"/>
        <v>43752395</v>
      </c>
      <c r="S27" s="880">
        <v>8.5</v>
      </c>
    </row>
    <row r="28" spans="1:19" s="21" customFormat="1" ht="15.75" customHeight="1" x14ac:dyDescent="0.2">
      <c r="A28" s="562"/>
      <c r="B28" s="563"/>
      <c r="C28" s="1873"/>
      <c r="D28" s="1867"/>
      <c r="E28" s="773" t="s">
        <v>66</v>
      </c>
      <c r="F28" s="969"/>
      <c r="G28" s="974"/>
      <c r="H28" s="973"/>
      <c r="I28" s="972"/>
      <c r="J28" s="972"/>
      <c r="K28" s="1373"/>
      <c r="L28" s="975"/>
      <c r="M28" s="964"/>
      <c r="N28" s="1054"/>
      <c r="O28" s="977"/>
      <c r="P28" s="1375"/>
      <c r="Q28" s="977"/>
      <c r="R28" s="964"/>
      <c r="S28" s="880"/>
    </row>
    <row r="29" spans="1:19" s="21" customFormat="1" ht="15.75" customHeight="1" x14ac:dyDescent="0.2">
      <c r="A29" s="562"/>
      <c r="B29" s="563"/>
      <c r="C29" s="1873"/>
      <c r="D29" s="1867"/>
      <c r="E29" s="1027" t="s">
        <v>254</v>
      </c>
      <c r="F29" s="969"/>
      <c r="G29" s="974"/>
      <c r="H29" s="973"/>
      <c r="I29" s="975"/>
      <c r="J29" s="975"/>
      <c r="K29" s="1373"/>
      <c r="L29" s="975"/>
      <c r="M29" s="964">
        <f t="shared" si="22"/>
        <v>0</v>
      </c>
      <c r="N29" s="1054"/>
      <c r="O29" s="977"/>
      <c r="P29" s="1375"/>
      <c r="Q29" s="977"/>
      <c r="R29" s="964">
        <f t="shared" si="23"/>
        <v>0</v>
      </c>
      <c r="S29" s="880"/>
    </row>
    <row r="30" spans="1:19" s="21" customFormat="1" ht="15.75" customHeight="1" x14ac:dyDescent="0.2">
      <c r="A30" s="562"/>
      <c r="B30" s="563"/>
      <c r="C30" s="1873"/>
      <c r="D30" s="1867"/>
      <c r="E30" s="1027" t="s">
        <v>255</v>
      </c>
      <c r="F30" s="964"/>
      <c r="G30" s="976"/>
      <c r="H30" s="964"/>
      <c r="I30" s="977"/>
      <c r="J30" s="977"/>
      <c r="K30" s="1375"/>
      <c r="L30" s="977"/>
      <c r="M30" s="964">
        <f t="shared" si="22"/>
        <v>0</v>
      </c>
      <c r="N30" s="964"/>
      <c r="O30" s="977"/>
      <c r="P30" s="1375"/>
      <c r="Q30" s="977"/>
      <c r="R30" s="964">
        <f t="shared" si="23"/>
        <v>0</v>
      </c>
      <c r="S30" s="885"/>
    </row>
    <row r="31" spans="1:19" s="21" customFormat="1" ht="15.75" customHeight="1" thickBot="1" x14ac:dyDescent="0.25">
      <c r="A31" s="562"/>
      <c r="B31" s="563"/>
      <c r="C31" s="1874"/>
      <c r="D31" s="1868"/>
      <c r="E31" s="1367" t="s">
        <v>256</v>
      </c>
      <c r="F31" s="978"/>
      <c r="G31" s="979"/>
      <c r="H31" s="978"/>
      <c r="I31" s="980"/>
      <c r="J31" s="980"/>
      <c r="K31" s="1376"/>
      <c r="L31" s="980"/>
      <c r="M31" s="989">
        <f t="shared" si="22"/>
        <v>0</v>
      </c>
      <c r="N31" s="989"/>
      <c r="O31" s="990"/>
      <c r="P31" s="1377"/>
      <c r="Q31" s="990"/>
      <c r="R31" s="989">
        <f t="shared" si="23"/>
        <v>0</v>
      </c>
      <c r="S31" s="1378"/>
    </row>
    <row r="32" spans="1:19" s="21" customFormat="1" ht="15.75" customHeight="1" x14ac:dyDescent="0.2">
      <c r="A32" s="562"/>
      <c r="B32" s="563"/>
      <c r="C32" s="1873" t="s">
        <v>265</v>
      </c>
      <c r="D32" s="1867" t="s">
        <v>54</v>
      </c>
      <c r="E32" s="1379" t="s">
        <v>46</v>
      </c>
      <c r="F32" s="981"/>
      <c r="G32" s="982"/>
      <c r="H32" s="981"/>
      <c r="I32" s="983"/>
      <c r="J32" s="983"/>
      <c r="K32" s="1380"/>
      <c r="L32" s="983"/>
      <c r="M32" s="981"/>
      <c r="N32" s="981"/>
      <c r="O32" s="983"/>
      <c r="P32" s="1380"/>
      <c r="Q32" s="983"/>
      <c r="R32" s="981"/>
      <c r="S32" s="564"/>
    </row>
    <row r="33" spans="1:19" s="21" customFormat="1" ht="15.75" customHeight="1" x14ac:dyDescent="0.2">
      <c r="A33" s="562"/>
      <c r="B33" s="563"/>
      <c r="C33" s="1873"/>
      <c r="D33" s="1867"/>
      <c r="E33" s="1027" t="s">
        <v>254</v>
      </c>
      <c r="F33" s="984">
        <v>3303809</v>
      </c>
      <c r="G33" s="985">
        <f>726838+33948</f>
        <v>760786</v>
      </c>
      <c r="H33" s="981">
        <v>0</v>
      </c>
      <c r="I33" s="983"/>
      <c r="J33" s="983"/>
      <c r="K33" s="1380"/>
      <c r="L33" s="983"/>
      <c r="M33" s="964">
        <f t="shared" si="22"/>
        <v>4064595</v>
      </c>
      <c r="N33" s="964"/>
      <c r="O33" s="977"/>
      <c r="P33" s="1375"/>
      <c r="Q33" s="977"/>
      <c r="R33" s="964">
        <f t="shared" si="23"/>
        <v>4064595</v>
      </c>
      <c r="S33" s="564">
        <v>1</v>
      </c>
    </row>
    <row r="34" spans="1:19" s="21" customFormat="1" ht="15.75" customHeight="1" x14ac:dyDescent="0.2">
      <c r="A34" s="562"/>
      <c r="B34" s="563">
        <v>2</v>
      </c>
      <c r="C34" s="1873"/>
      <c r="D34" s="1867"/>
      <c r="E34" s="1027" t="s">
        <v>255</v>
      </c>
      <c r="F34" s="984">
        <v>3303809</v>
      </c>
      <c r="G34" s="986">
        <v>760786</v>
      </c>
      <c r="H34" s="981">
        <v>52000</v>
      </c>
      <c r="I34" s="983"/>
      <c r="J34" s="983"/>
      <c r="K34" s="1380"/>
      <c r="L34" s="983"/>
      <c r="M34" s="964">
        <f t="shared" si="22"/>
        <v>4116595</v>
      </c>
      <c r="N34" s="964"/>
      <c r="O34" s="977"/>
      <c r="P34" s="1375"/>
      <c r="Q34" s="977"/>
      <c r="R34" s="964">
        <f t="shared" si="23"/>
        <v>4116595</v>
      </c>
      <c r="S34" s="564">
        <v>1</v>
      </c>
    </row>
    <row r="35" spans="1:19" s="21" customFormat="1" ht="15.75" customHeight="1" thickBot="1" x14ac:dyDescent="0.25">
      <c r="A35" s="562"/>
      <c r="B35" s="563"/>
      <c r="C35" s="1874"/>
      <c r="D35" s="1868"/>
      <c r="E35" s="1367" t="s">
        <v>256</v>
      </c>
      <c r="F35" s="987">
        <v>3245293</v>
      </c>
      <c r="G35" s="988">
        <v>552015</v>
      </c>
      <c r="H35" s="989">
        <v>51780</v>
      </c>
      <c r="I35" s="990"/>
      <c r="J35" s="990"/>
      <c r="K35" s="1377"/>
      <c r="L35" s="990"/>
      <c r="M35" s="989">
        <f t="shared" si="22"/>
        <v>3849088</v>
      </c>
      <c r="N35" s="989"/>
      <c r="O35" s="990"/>
      <c r="P35" s="1377"/>
      <c r="Q35" s="990"/>
      <c r="R35" s="989">
        <f t="shared" si="23"/>
        <v>3849088</v>
      </c>
      <c r="S35" s="1381">
        <v>1</v>
      </c>
    </row>
    <row r="36" spans="1:19" s="21" customFormat="1" ht="15.75" customHeight="1" x14ac:dyDescent="0.2">
      <c r="A36" s="562"/>
      <c r="B36" s="563"/>
      <c r="C36" s="1873" t="s">
        <v>610</v>
      </c>
      <c r="D36" s="1888" t="s">
        <v>54</v>
      </c>
      <c r="E36" s="1382" t="s">
        <v>609</v>
      </c>
      <c r="F36" s="991"/>
      <c r="G36" s="992"/>
      <c r="H36" s="993"/>
      <c r="I36" s="994"/>
      <c r="J36" s="994"/>
      <c r="K36" s="1383"/>
      <c r="L36" s="994"/>
      <c r="M36" s="993"/>
      <c r="N36" s="993"/>
      <c r="O36" s="994"/>
      <c r="P36" s="1383"/>
      <c r="Q36" s="994"/>
      <c r="R36" s="993"/>
      <c r="S36" s="1384"/>
    </row>
    <row r="37" spans="1:19" s="21" customFormat="1" ht="15.75" customHeight="1" x14ac:dyDescent="0.2">
      <c r="A37" s="562"/>
      <c r="B37" s="563"/>
      <c r="C37" s="1873"/>
      <c r="D37" s="1867"/>
      <c r="E37" s="1027" t="s">
        <v>254</v>
      </c>
      <c r="F37" s="984">
        <v>0</v>
      </c>
      <c r="G37" s="986">
        <v>0</v>
      </c>
      <c r="H37" s="981">
        <v>0</v>
      </c>
      <c r="I37" s="983"/>
      <c r="J37" s="983"/>
      <c r="K37" s="1380"/>
      <c r="L37" s="983"/>
      <c r="M37" s="964">
        <f>SUM(F37:L37)</f>
        <v>0</v>
      </c>
      <c r="N37" s="964"/>
      <c r="O37" s="977"/>
      <c r="P37" s="1375"/>
      <c r="Q37" s="977"/>
      <c r="R37" s="964">
        <f>M37+N37+O37+P37+Q37</f>
        <v>0</v>
      </c>
      <c r="S37" s="564"/>
    </row>
    <row r="38" spans="1:19" s="21" customFormat="1" ht="15.75" customHeight="1" x14ac:dyDescent="0.2">
      <c r="A38" s="562"/>
      <c r="B38" s="563"/>
      <c r="C38" s="1873"/>
      <c r="D38" s="1867"/>
      <c r="E38" s="1027" t="s">
        <v>255</v>
      </c>
      <c r="F38" s="984">
        <v>542230</v>
      </c>
      <c r="G38" s="986">
        <v>113670</v>
      </c>
      <c r="H38" s="981">
        <v>187441</v>
      </c>
      <c r="I38" s="983"/>
      <c r="J38" s="983"/>
      <c r="K38" s="1380"/>
      <c r="L38" s="983"/>
      <c r="M38" s="964">
        <f t="shared" ref="M38:M39" si="24">SUM(F38:L38)</f>
        <v>843341</v>
      </c>
      <c r="N38" s="964"/>
      <c r="O38" s="977"/>
      <c r="P38" s="1375"/>
      <c r="Q38" s="977"/>
      <c r="R38" s="964">
        <f t="shared" ref="R38:R39" si="25">M38+N38+O38+P38+Q38</f>
        <v>843341</v>
      </c>
      <c r="S38" s="564"/>
    </row>
    <row r="39" spans="1:19" s="21" customFormat="1" ht="15.75" customHeight="1" thickBot="1" x14ac:dyDescent="0.25">
      <c r="A39" s="562"/>
      <c r="B39" s="563"/>
      <c r="C39" s="1887"/>
      <c r="D39" s="1868"/>
      <c r="E39" s="1367" t="s">
        <v>256</v>
      </c>
      <c r="F39" s="995">
        <v>542230</v>
      </c>
      <c r="G39" s="996">
        <v>113670</v>
      </c>
      <c r="H39" s="978">
        <v>187441</v>
      </c>
      <c r="I39" s="980"/>
      <c r="J39" s="980"/>
      <c r="K39" s="1376"/>
      <c r="L39" s="980"/>
      <c r="M39" s="989">
        <f t="shared" si="24"/>
        <v>843341</v>
      </c>
      <c r="N39" s="989"/>
      <c r="O39" s="990"/>
      <c r="P39" s="1377"/>
      <c r="Q39" s="990"/>
      <c r="R39" s="989">
        <f t="shared" si="25"/>
        <v>843341</v>
      </c>
      <c r="S39" s="1378"/>
    </row>
    <row r="40" spans="1:19" s="21" customFormat="1" ht="21" customHeight="1" x14ac:dyDescent="0.2">
      <c r="A40" s="562"/>
      <c r="B40" s="563"/>
      <c r="C40" s="1875" t="s">
        <v>611</v>
      </c>
      <c r="D40" s="1867"/>
      <c r="E40" s="1385" t="s">
        <v>76</v>
      </c>
      <c r="F40" s="981"/>
      <c r="G40" s="982"/>
      <c r="H40" s="981"/>
      <c r="I40" s="983"/>
      <c r="J40" s="983"/>
      <c r="K40" s="1380"/>
      <c r="L40" s="983"/>
      <c r="M40" s="981"/>
      <c r="N40" s="981"/>
      <c r="O40" s="983"/>
      <c r="P40" s="1380"/>
      <c r="Q40" s="983"/>
      <c r="R40" s="981"/>
      <c r="S40" s="564"/>
    </row>
    <row r="41" spans="1:19" s="21" customFormat="1" ht="15.75" customHeight="1" x14ac:dyDescent="0.2">
      <c r="A41" s="152"/>
      <c r="B41" s="153"/>
      <c r="C41" s="1873"/>
      <c r="D41" s="1867"/>
      <c r="E41" s="1027" t="s">
        <v>254</v>
      </c>
      <c r="F41" s="964">
        <f>F45</f>
        <v>0</v>
      </c>
      <c r="G41" s="997">
        <f t="shared" ref="G41:L41" si="26">G45</f>
        <v>0</v>
      </c>
      <c r="H41" s="964">
        <f t="shared" si="26"/>
        <v>0</v>
      </c>
      <c r="I41" s="964">
        <f t="shared" si="26"/>
        <v>1819000</v>
      </c>
      <c r="J41" s="964">
        <f t="shared" si="26"/>
        <v>0</v>
      </c>
      <c r="K41" s="964">
        <f t="shared" si="26"/>
        <v>0</v>
      </c>
      <c r="L41" s="964">
        <f t="shared" si="26"/>
        <v>0</v>
      </c>
      <c r="M41" s="964">
        <f>SUM(F41:L41)</f>
        <v>1819000</v>
      </c>
      <c r="N41" s="964">
        <f>N45</f>
        <v>0</v>
      </c>
      <c r="O41" s="977"/>
      <c r="P41" s="1375"/>
      <c r="Q41" s="977"/>
      <c r="R41" s="964">
        <f>SUM(M41:Q41)</f>
        <v>1819000</v>
      </c>
      <c r="S41" s="885"/>
    </row>
    <row r="42" spans="1:19" s="21" customFormat="1" ht="15.75" customHeight="1" x14ac:dyDescent="0.2">
      <c r="A42" s="152"/>
      <c r="B42" s="153"/>
      <c r="C42" s="1873"/>
      <c r="D42" s="1867"/>
      <c r="E42" s="1027" t="s">
        <v>255</v>
      </c>
      <c r="F42" s="964">
        <f t="shared" ref="F42:F43" si="27">F46</f>
        <v>0</v>
      </c>
      <c r="G42" s="997">
        <f t="shared" ref="G42:L43" si="28">G46</f>
        <v>0</v>
      </c>
      <c r="H42" s="964">
        <f t="shared" si="28"/>
        <v>0</v>
      </c>
      <c r="I42" s="964">
        <f t="shared" si="28"/>
        <v>1819000</v>
      </c>
      <c r="J42" s="964">
        <f t="shared" si="28"/>
        <v>0</v>
      </c>
      <c r="K42" s="964">
        <f t="shared" si="28"/>
        <v>0</v>
      </c>
      <c r="L42" s="964">
        <f t="shared" si="28"/>
        <v>0</v>
      </c>
      <c r="M42" s="964">
        <f t="shared" ref="M42:M43" si="29">SUM(F42:L42)</f>
        <v>1819000</v>
      </c>
      <c r="N42" s="964">
        <f t="shared" ref="N42:N43" si="30">N46</f>
        <v>0</v>
      </c>
      <c r="O42" s="977"/>
      <c r="P42" s="1375"/>
      <c r="Q42" s="977"/>
      <c r="R42" s="964">
        <f t="shared" ref="R42:R43" si="31">SUM(M42:Q42)</f>
        <v>1819000</v>
      </c>
      <c r="S42" s="885"/>
    </row>
    <row r="43" spans="1:19" s="21" customFormat="1" ht="15.75" customHeight="1" thickBot="1" x14ac:dyDescent="0.25">
      <c r="A43" s="152"/>
      <c r="B43" s="153"/>
      <c r="C43" s="1874"/>
      <c r="D43" s="1868"/>
      <c r="E43" s="1386" t="s">
        <v>256</v>
      </c>
      <c r="F43" s="989">
        <f t="shared" si="27"/>
        <v>0</v>
      </c>
      <c r="G43" s="998">
        <f t="shared" si="28"/>
        <v>0</v>
      </c>
      <c r="H43" s="989">
        <f t="shared" si="28"/>
        <v>0</v>
      </c>
      <c r="I43" s="989">
        <f t="shared" si="28"/>
        <v>1516000</v>
      </c>
      <c r="J43" s="989">
        <f t="shared" si="28"/>
        <v>0</v>
      </c>
      <c r="K43" s="989">
        <f t="shared" si="28"/>
        <v>0</v>
      </c>
      <c r="L43" s="989">
        <f t="shared" si="28"/>
        <v>0</v>
      </c>
      <c r="M43" s="989">
        <f t="shared" si="29"/>
        <v>1516000</v>
      </c>
      <c r="N43" s="989">
        <f t="shared" si="30"/>
        <v>0</v>
      </c>
      <c r="O43" s="990"/>
      <c r="P43" s="1377"/>
      <c r="Q43" s="990"/>
      <c r="R43" s="989">
        <f t="shared" si="31"/>
        <v>1516000</v>
      </c>
      <c r="S43" s="1381"/>
    </row>
    <row r="44" spans="1:19" s="21" customFormat="1" ht="15.75" customHeight="1" thickBot="1" x14ac:dyDescent="0.25">
      <c r="A44" s="565"/>
      <c r="B44" s="566">
        <v>3</v>
      </c>
      <c r="C44" s="1387"/>
      <c r="D44" s="1867" t="s">
        <v>54</v>
      </c>
      <c r="E44" s="1388" t="s">
        <v>79</v>
      </c>
      <c r="F44" s="981"/>
      <c r="G44" s="982"/>
      <c r="H44" s="981"/>
      <c r="I44" s="983"/>
      <c r="J44" s="983"/>
      <c r="K44" s="1380"/>
      <c r="L44" s="983"/>
      <c r="M44" s="981"/>
      <c r="N44" s="981"/>
      <c r="O44" s="983"/>
      <c r="P44" s="1380"/>
      <c r="Q44" s="983"/>
      <c r="R44" s="981"/>
      <c r="S44" s="1372"/>
    </row>
    <row r="45" spans="1:19" s="21" customFormat="1" ht="15.75" customHeight="1" thickBot="1" x14ac:dyDescent="0.25">
      <c r="A45" s="149"/>
      <c r="B45" s="150"/>
      <c r="C45" s="1389"/>
      <c r="D45" s="1867"/>
      <c r="E45" s="1027" t="s">
        <v>254</v>
      </c>
      <c r="F45" s="964"/>
      <c r="G45" s="999"/>
      <c r="H45" s="964"/>
      <c r="I45" s="977">
        <v>1819000</v>
      </c>
      <c r="J45" s="977"/>
      <c r="K45" s="1375"/>
      <c r="L45" s="977"/>
      <c r="M45" s="964">
        <f t="shared" ref="M45:M47" si="32">SUM(F45:L45)</f>
        <v>1819000</v>
      </c>
      <c r="N45" s="964"/>
      <c r="O45" s="977"/>
      <c r="P45" s="1375"/>
      <c r="Q45" s="977"/>
      <c r="R45" s="964">
        <f t="shared" si="14"/>
        <v>1819000</v>
      </c>
      <c r="S45" s="885"/>
    </row>
    <row r="46" spans="1:19" s="21" customFormat="1" ht="15.75" customHeight="1" thickBot="1" x14ac:dyDescent="0.25">
      <c r="A46" s="149"/>
      <c r="B46" s="150"/>
      <c r="C46" s="1389"/>
      <c r="D46" s="1867"/>
      <c r="E46" s="1027" t="s">
        <v>255</v>
      </c>
      <c r="F46" s="964"/>
      <c r="G46" s="999"/>
      <c r="H46" s="964"/>
      <c r="I46" s="1000">
        <v>1819000</v>
      </c>
      <c r="J46" s="1000"/>
      <c r="K46" s="1375"/>
      <c r="L46" s="1000"/>
      <c r="M46" s="1390">
        <f t="shared" si="32"/>
        <v>1819000</v>
      </c>
      <c r="N46" s="1390"/>
      <c r="O46" s="1000"/>
      <c r="P46" s="1375"/>
      <c r="Q46" s="1000"/>
      <c r="R46" s="1390">
        <f t="shared" si="14"/>
        <v>1819000</v>
      </c>
      <c r="S46" s="885"/>
    </row>
    <row r="47" spans="1:19" s="21" customFormat="1" ht="15.75" customHeight="1" thickBot="1" x14ac:dyDescent="0.25">
      <c r="A47" s="149"/>
      <c r="B47" s="150"/>
      <c r="C47" s="1389"/>
      <c r="D47" s="1867"/>
      <c r="E47" s="902" t="s">
        <v>256</v>
      </c>
      <c r="F47" s="1001"/>
      <c r="G47" s="975"/>
      <c r="H47" s="1001"/>
      <c r="I47" s="972">
        <v>1516000</v>
      </c>
      <c r="J47" s="972"/>
      <c r="K47" s="1373"/>
      <c r="L47" s="972"/>
      <c r="M47" s="965">
        <f t="shared" si="32"/>
        <v>1516000</v>
      </c>
      <c r="N47" s="969"/>
      <c r="O47" s="972"/>
      <c r="P47" s="1373"/>
      <c r="Q47" s="972"/>
      <c r="R47" s="965">
        <f t="shared" si="14"/>
        <v>1516000</v>
      </c>
      <c r="S47" s="880"/>
    </row>
    <row r="48" spans="1:19" ht="30" customHeight="1" thickBot="1" x14ac:dyDescent="0.25">
      <c r="A48" s="567" t="s">
        <v>3</v>
      </c>
      <c r="B48" s="568"/>
      <c r="C48" s="1876" t="s">
        <v>265</v>
      </c>
      <c r="D48" s="1892"/>
      <c r="E48" s="753" t="s">
        <v>188</v>
      </c>
      <c r="F48" s="569"/>
      <c r="G48" s="569"/>
      <c r="H48" s="569"/>
      <c r="I48" s="569"/>
      <c r="J48" s="569"/>
      <c r="K48" s="569"/>
      <c r="L48" s="569"/>
      <c r="M48" s="570"/>
      <c r="N48" s="570"/>
      <c r="O48" s="570"/>
      <c r="P48" s="570"/>
      <c r="Q48" s="570"/>
      <c r="R48" s="569"/>
      <c r="S48" s="148"/>
    </row>
    <row r="49" spans="1:19" ht="15.75" customHeight="1" thickBot="1" x14ac:dyDescent="0.25">
      <c r="A49" s="746"/>
      <c r="B49" s="747"/>
      <c r="C49" s="1877"/>
      <c r="D49" s="1892"/>
      <c r="E49" s="748" t="s">
        <v>254</v>
      </c>
      <c r="F49" s="569">
        <f>F53+F57</f>
        <v>26724572</v>
      </c>
      <c r="G49" s="569">
        <f t="shared" ref="G49:L49" si="33">G53+G57</f>
        <v>5418248.5500000007</v>
      </c>
      <c r="H49" s="749">
        <f t="shared" si="33"/>
        <v>32610000</v>
      </c>
      <c r="I49" s="569">
        <f t="shared" si="33"/>
        <v>0</v>
      </c>
      <c r="J49" s="569">
        <f t="shared" si="33"/>
        <v>0</v>
      </c>
      <c r="K49" s="569">
        <f t="shared" si="33"/>
        <v>0</v>
      </c>
      <c r="L49" s="569">
        <f t="shared" si="33"/>
        <v>0</v>
      </c>
      <c r="M49" s="569">
        <f>SUM(F49:L49)</f>
        <v>64752820.549999997</v>
      </c>
      <c r="N49" s="569">
        <f t="shared" ref="N49" si="34">N53+N57</f>
        <v>2000000</v>
      </c>
      <c r="O49" s="570"/>
      <c r="P49" s="570"/>
      <c r="Q49" s="570"/>
      <c r="R49" s="569">
        <f>SUM(M49:Q49)</f>
        <v>66752820.549999997</v>
      </c>
      <c r="S49" s="571">
        <f>S53+S57</f>
        <v>10</v>
      </c>
    </row>
    <row r="50" spans="1:19" ht="15.75" customHeight="1" thickBot="1" x14ac:dyDescent="0.25">
      <c r="A50" s="572"/>
      <c r="B50" s="568"/>
      <c r="C50" s="1877"/>
      <c r="D50" s="1892"/>
      <c r="E50" s="748" t="s">
        <v>255</v>
      </c>
      <c r="F50" s="569">
        <f t="shared" ref="F50:Q51" si="35">F54+F58</f>
        <v>26626564</v>
      </c>
      <c r="G50" s="569">
        <f t="shared" si="35"/>
        <v>5418249</v>
      </c>
      <c r="H50" s="749">
        <f t="shared" si="35"/>
        <v>36438829</v>
      </c>
      <c r="I50" s="569">
        <f t="shared" si="35"/>
        <v>0</v>
      </c>
      <c r="J50" s="569">
        <f t="shared" si="35"/>
        <v>0</v>
      </c>
      <c r="K50" s="569">
        <f t="shared" si="35"/>
        <v>0</v>
      </c>
      <c r="L50" s="569">
        <f t="shared" si="35"/>
        <v>0</v>
      </c>
      <c r="M50" s="569">
        <f t="shared" ref="M50:M51" si="36">SUM(F50:L50)</f>
        <v>68483642</v>
      </c>
      <c r="N50" s="569">
        <f t="shared" ref="N50" si="37">N54+N58</f>
        <v>1665959</v>
      </c>
      <c r="O50" s="570"/>
      <c r="P50" s="570"/>
      <c r="Q50" s="570"/>
      <c r="R50" s="569">
        <f t="shared" ref="R50" si="38">SUM(M50:Q50)</f>
        <v>70149601</v>
      </c>
      <c r="S50" s="571">
        <f t="shared" ref="S50:S51" si="39">S54+S58</f>
        <v>10</v>
      </c>
    </row>
    <row r="51" spans="1:19" ht="15.75" customHeight="1" thickBot="1" x14ac:dyDescent="0.25">
      <c r="A51" s="572"/>
      <c r="B51" s="568"/>
      <c r="C51" s="1877"/>
      <c r="D51" s="1892"/>
      <c r="E51" s="754" t="s">
        <v>256</v>
      </c>
      <c r="F51" s="569">
        <f t="shared" si="35"/>
        <v>24688536</v>
      </c>
      <c r="G51" s="569">
        <f t="shared" si="35"/>
        <v>4948059</v>
      </c>
      <c r="H51" s="749">
        <f>H55+H59</f>
        <v>36393465</v>
      </c>
      <c r="I51" s="569">
        <f t="shared" si="35"/>
        <v>0</v>
      </c>
      <c r="J51" s="569">
        <f t="shared" si="35"/>
        <v>0</v>
      </c>
      <c r="K51" s="569">
        <f t="shared" si="35"/>
        <v>0</v>
      </c>
      <c r="L51" s="569">
        <f t="shared" si="35"/>
        <v>0</v>
      </c>
      <c r="M51" s="569">
        <f t="shared" si="36"/>
        <v>66030060</v>
      </c>
      <c r="N51" s="569">
        <f>N55+N59</f>
        <v>1665937</v>
      </c>
      <c r="O51" s="569">
        <f t="shared" si="35"/>
        <v>0</v>
      </c>
      <c r="P51" s="569">
        <f t="shared" si="35"/>
        <v>0</v>
      </c>
      <c r="Q51" s="569">
        <f t="shared" si="35"/>
        <v>0</v>
      </c>
      <c r="R51" s="569">
        <f>SUM(M51:Q51)</f>
        <v>67695997</v>
      </c>
      <c r="S51" s="571">
        <f t="shared" si="39"/>
        <v>10</v>
      </c>
    </row>
    <row r="52" spans="1:19" ht="15.75" customHeight="1" thickBot="1" x14ac:dyDescent="0.25">
      <c r="A52" s="572"/>
      <c r="B52" s="568"/>
      <c r="C52" s="1877"/>
      <c r="D52" s="1889" t="s">
        <v>54</v>
      </c>
      <c r="E52" s="573" t="s">
        <v>65</v>
      </c>
      <c r="F52" s="569"/>
      <c r="G52" s="569"/>
      <c r="H52" s="749"/>
      <c r="I52" s="569"/>
      <c r="J52" s="569"/>
      <c r="K52" s="569"/>
      <c r="L52" s="569"/>
      <c r="M52" s="570"/>
      <c r="N52" s="570"/>
      <c r="O52" s="570"/>
      <c r="P52" s="570"/>
      <c r="Q52" s="570"/>
      <c r="R52" s="569"/>
      <c r="S52" s="571"/>
    </row>
    <row r="53" spans="1:19" ht="15.75" customHeight="1" thickBot="1" x14ac:dyDescent="0.25">
      <c r="A53" s="572"/>
      <c r="B53" s="568"/>
      <c r="C53" s="1877"/>
      <c r="D53" s="1890"/>
      <c r="E53" s="748" t="s">
        <v>254</v>
      </c>
      <c r="F53" s="569">
        <f>F65+F77</f>
        <v>12391049</v>
      </c>
      <c r="G53" s="569">
        <f t="shared" ref="G53:L53" si="40">G65+G77</f>
        <v>2551543.9500000002</v>
      </c>
      <c r="H53" s="749">
        <f t="shared" si="40"/>
        <v>29564030</v>
      </c>
      <c r="I53" s="749">
        <f t="shared" si="40"/>
        <v>0</v>
      </c>
      <c r="J53" s="749">
        <f t="shared" si="40"/>
        <v>0</v>
      </c>
      <c r="K53" s="749">
        <f t="shared" si="40"/>
        <v>0</v>
      </c>
      <c r="L53" s="749">
        <f t="shared" si="40"/>
        <v>0</v>
      </c>
      <c r="M53" s="749">
        <f>SUM(F53:L53)</f>
        <v>44506622.950000003</v>
      </c>
      <c r="N53" s="569">
        <f>N65+N77</f>
        <v>1000000</v>
      </c>
      <c r="O53" s="569">
        <f t="shared" ref="O53:Q53" si="41">O65+O77</f>
        <v>0</v>
      </c>
      <c r="P53" s="569">
        <f t="shared" si="41"/>
        <v>0</v>
      </c>
      <c r="Q53" s="569">
        <f t="shared" si="41"/>
        <v>0</v>
      </c>
      <c r="R53" s="569">
        <f>M53+N53</f>
        <v>45506622.950000003</v>
      </c>
      <c r="S53" s="571">
        <f>S65+S77</f>
        <v>5.75</v>
      </c>
    </row>
    <row r="54" spans="1:19" ht="15.75" customHeight="1" thickBot="1" x14ac:dyDescent="0.25">
      <c r="A54" s="572"/>
      <c r="B54" s="568"/>
      <c r="C54" s="1877"/>
      <c r="D54" s="1890"/>
      <c r="E54" s="748" t="s">
        <v>255</v>
      </c>
      <c r="F54" s="569">
        <f t="shared" ref="F54:L55" si="42">F66+F78</f>
        <v>14785346</v>
      </c>
      <c r="G54" s="569">
        <f t="shared" si="42"/>
        <v>3061083</v>
      </c>
      <c r="H54" s="749">
        <f t="shared" si="42"/>
        <v>31586652</v>
      </c>
      <c r="I54" s="749">
        <f t="shared" si="42"/>
        <v>0</v>
      </c>
      <c r="J54" s="749">
        <f t="shared" si="42"/>
        <v>0</v>
      </c>
      <c r="K54" s="749">
        <f t="shared" si="42"/>
        <v>0</v>
      </c>
      <c r="L54" s="749">
        <f t="shared" si="42"/>
        <v>0</v>
      </c>
      <c r="M54" s="749">
        <f t="shared" ref="M54:M55" si="43">SUM(F54:L54)</f>
        <v>49433081</v>
      </c>
      <c r="N54" s="569">
        <f>N66+N78</f>
        <v>380047</v>
      </c>
      <c r="O54" s="569">
        <f t="shared" ref="O54:Q54" si="44">O66+O78</f>
        <v>0</v>
      </c>
      <c r="P54" s="569">
        <f t="shared" si="44"/>
        <v>0</v>
      </c>
      <c r="Q54" s="569">
        <f t="shared" si="44"/>
        <v>0</v>
      </c>
      <c r="R54" s="569">
        <f>SUM(M54:Q54)</f>
        <v>49813128</v>
      </c>
      <c r="S54" s="571">
        <f>S66+S78</f>
        <v>5</v>
      </c>
    </row>
    <row r="55" spans="1:19" ht="15.75" customHeight="1" thickBot="1" x14ac:dyDescent="0.25">
      <c r="A55" s="572"/>
      <c r="B55" s="574"/>
      <c r="C55" s="1877"/>
      <c r="D55" s="1891"/>
      <c r="E55" s="754" t="s">
        <v>256</v>
      </c>
      <c r="F55" s="569">
        <f t="shared" si="42"/>
        <v>13192418</v>
      </c>
      <c r="G55" s="569">
        <f t="shared" si="42"/>
        <v>2612963</v>
      </c>
      <c r="H55" s="749">
        <f t="shared" si="42"/>
        <v>31574557</v>
      </c>
      <c r="I55" s="749">
        <f t="shared" si="42"/>
        <v>0</v>
      </c>
      <c r="J55" s="749">
        <f t="shared" si="42"/>
        <v>0</v>
      </c>
      <c r="K55" s="749">
        <f t="shared" si="42"/>
        <v>0</v>
      </c>
      <c r="L55" s="749">
        <f t="shared" si="42"/>
        <v>0</v>
      </c>
      <c r="M55" s="749">
        <f t="shared" si="43"/>
        <v>47379938</v>
      </c>
      <c r="N55" s="569">
        <f>N67+N79</f>
        <v>380047</v>
      </c>
      <c r="O55" s="569">
        <f t="shared" ref="O55:Q55" si="45">O67+O79</f>
        <v>0</v>
      </c>
      <c r="P55" s="569">
        <f t="shared" si="45"/>
        <v>0</v>
      </c>
      <c r="Q55" s="569">
        <f t="shared" si="45"/>
        <v>0</v>
      </c>
      <c r="R55" s="569">
        <f t="shared" ref="R55:R58" si="46">SUM(M55:Q55)</f>
        <v>47759985</v>
      </c>
      <c r="S55" s="571">
        <v>5</v>
      </c>
    </row>
    <row r="56" spans="1:19" ht="15.75" customHeight="1" thickBot="1" x14ac:dyDescent="0.25">
      <c r="A56" s="572"/>
      <c r="B56" s="574"/>
      <c r="C56" s="1877"/>
      <c r="D56" s="1889" t="s">
        <v>55</v>
      </c>
      <c r="E56" s="573" t="s">
        <v>66</v>
      </c>
      <c r="F56" s="755"/>
      <c r="G56" s="755"/>
      <c r="H56" s="756"/>
      <c r="I56" s="755"/>
      <c r="J56" s="755"/>
      <c r="K56" s="755"/>
      <c r="L56" s="755"/>
      <c r="M56" s="569"/>
      <c r="N56" s="570"/>
      <c r="O56" s="570"/>
      <c r="P56" s="570"/>
      <c r="Q56" s="570"/>
      <c r="R56" s="569"/>
      <c r="S56" s="571"/>
    </row>
    <row r="57" spans="1:19" ht="15.75" customHeight="1" thickBot="1" x14ac:dyDescent="0.25">
      <c r="A57" s="572"/>
      <c r="B57" s="574"/>
      <c r="C57" s="1877"/>
      <c r="D57" s="1890"/>
      <c r="E57" s="757" t="s">
        <v>254</v>
      </c>
      <c r="F57" s="755">
        <f>F69+F81</f>
        <v>14333523</v>
      </c>
      <c r="G57" s="755">
        <f t="shared" ref="G57:L57" si="47">G69+G81</f>
        <v>2866704.6</v>
      </c>
      <c r="H57" s="755">
        <f t="shared" si="47"/>
        <v>3045970</v>
      </c>
      <c r="I57" s="755">
        <f t="shared" si="47"/>
        <v>0</v>
      </c>
      <c r="J57" s="755">
        <f t="shared" si="47"/>
        <v>0</v>
      </c>
      <c r="K57" s="755">
        <f t="shared" si="47"/>
        <v>0</v>
      </c>
      <c r="L57" s="755">
        <f t="shared" si="47"/>
        <v>0</v>
      </c>
      <c r="M57" s="569">
        <f>SUM(F57:L57)</f>
        <v>20246197.600000001</v>
      </c>
      <c r="N57" s="755">
        <f>N69+N81</f>
        <v>1000000</v>
      </c>
      <c r="O57" s="755">
        <f t="shared" ref="O57:Q57" si="48">O69+O81</f>
        <v>0</v>
      </c>
      <c r="P57" s="755">
        <f t="shared" si="48"/>
        <v>0</v>
      </c>
      <c r="Q57" s="755">
        <f t="shared" si="48"/>
        <v>0</v>
      </c>
      <c r="R57" s="569">
        <f t="shared" si="46"/>
        <v>21246197.600000001</v>
      </c>
      <c r="S57" s="571">
        <f>S69+S81</f>
        <v>4.25</v>
      </c>
    </row>
    <row r="58" spans="1:19" ht="15.75" customHeight="1" thickBot="1" x14ac:dyDescent="0.25">
      <c r="A58" s="567"/>
      <c r="B58" s="574"/>
      <c r="C58" s="1877"/>
      <c r="D58" s="1890"/>
      <c r="E58" s="757" t="s">
        <v>255</v>
      </c>
      <c r="F58" s="755">
        <f t="shared" ref="F58:M59" si="49">F70+F82</f>
        <v>11841218</v>
      </c>
      <c r="G58" s="755">
        <f t="shared" si="49"/>
        <v>2357166</v>
      </c>
      <c r="H58" s="755">
        <f t="shared" si="49"/>
        <v>4852177</v>
      </c>
      <c r="I58" s="755">
        <f t="shared" si="49"/>
        <v>0</v>
      </c>
      <c r="J58" s="755">
        <f t="shared" si="49"/>
        <v>0</v>
      </c>
      <c r="K58" s="755">
        <f t="shared" si="49"/>
        <v>0</v>
      </c>
      <c r="L58" s="755">
        <f t="shared" si="49"/>
        <v>0</v>
      </c>
      <c r="M58" s="569">
        <f t="shared" ref="M58" si="50">SUM(F58:L58)</f>
        <v>19050561</v>
      </c>
      <c r="N58" s="755">
        <f>N70+N82</f>
        <v>1285912</v>
      </c>
      <c r="O58" s="755">
        <f t="shared" ref="O58:Q58" si="51">O70+O82</f>
        <v>0</v>
      </c>
      <c r="P58" s="755">
        <f t="shared" si="51"/>
        <v>0</v>
      </c>
      <c r="Q58" s="755">
        <f t="shared" si="51"/>
        <v>0</v>
      </c>
      <c r="R58" s="569">
        <f t="shared" si="46"/>
        <v>20336473</v>
      </c>
      <c r="S58" s="571">
        <f t="shared" ref="S58:S59" si="52">S70+S82</f>
        <v>5</v>
      </c>
    </row>
    <row r="59" spans="1:19" ht="15.75" customHeight="1" thickBot="1" x14ac:dyDescent="0.25">
      <c r="A59" s="576"/>
      <c r="B59" s="607"/>
      <c r="C59" s="1877"/>
      <c r="D59" s="1891"/>
      <c r="E59" s="147" t="s">
        <v>256</v>
      </c>
      <c r="F59" s="755">
        <f t="shared" si="49"/>
        <v>11496118</v>
      </c>
      <c r="G59" s="755">
        <f t="shared" si="49"/>
        <v>2335096</v>
      </c>
      <c r="H59" s="755">
        <f t="shared" si="49"/>
        <v>4818908</v>
      </c>
      <c r="I59" s="755">
        <f t="shared" si="49"/>
        <v>0</v>
      </c>
      <c r="J59" s="755">
        <f t="shared" si="49"/>
        <v>0</v>
      </c>
      <c r="K59" s="755">
        <f t="shared" si="49"/>
        <v>0</v>
      </c>
      <c r="L59" s="755">
        <f t="shared" si="49"/>
        <v>0</v>
      </c>
      <c r="M59" s="755">
        <f t="shared" si="49"/>
        <v>18650122</v>
      </c>
      <c r="N59" s="755">
        <f>N71+N83</f>
        <v>1285890</v>
      </c>
      <c r="O59" s="755">
        <f t="shared" ref="O59:Q59" si="53">O71+O83</f>
        <v>0</v>
      </c>
      <c r="P59" s="755">
        <f t="shared" si="53"/>
        <v>0</v>
      </c>
      <c r="Q59" s="755">
        <f t="shared" si="53"/>
        <v>0</v>
      </c>
      <c r="R59" s="569">
        <f>SUM(M59:Q59)</f>
        <v>19936012</v>
      </c>
      <c r="S59" s="571">
        <f t="shared" si="52"/>
        <v>5</v>
      </c>
    </row>
    <row r="60" spans="1:19" ht="15.75" customHeight="1" x14ac:dyDescent="0.2">
      <c r="A60" s="576"/>
      <c r="B60" s="607"/>
      <c r="C60" s="1878" t="s">
        <v>266</v>
      </c>
      <c r="D60" s="1893"/>
      <c r="E60" s="758" t="s">
        <v>212</v>
      </c>
      <c r="F60" s="759"/>
      <c r="G60" s="759"/>
      <c r="H60" s="760"/>
      <c r="I60" s="759"/>
      <c r="J60" s="759"/>
      <c r="K60" s="759"/>
      <c r="L60" s="759"/>
      <c r="M60" s="761"/>
      <c r="N60" s="761"/>
      <c r="O60" s="761"/>
      <c r="P60" s="761"/>
      <c r="Q60" s="761"/>
      <c r="R60" s="759"/>
      <c r="S60" s="762"/>
    </row>
    <row r="61" spans="1:19" ht="15.75" customHeight="1" x14ac:dyDescent="0.2">
      <c r="A61" s="576"/>
      <c r="B61" s="607"/>
      <c r="C61" s="1879"/>
      <c r="D61" s="1894"/>
      <c r="E61" s="763" t="s">
        <v>254</v>
      </c>
      <c r="F61" s="764">
        <f>F65+F69</f>
        <v>16845530</v>
      </c>
      <c r="G61" s="764">
        <f t="shared" ref="G61:L61" si="54">G65+G69</f>
        <v>3442440.15</v>
      </c>
      <c r="H61" s="765">
        <f t="shared" si="54"/>
        <v>7305808</v>
      </c>
      <c r="I61" s="764">
        <f t="shared" si="54"/>
        <v>0</v>
      </c>
      <c r="J61" s="764">
        <f t="shared" si="54"/>
        <v>0</v>
      </c>
      <c r="K61" s="764">
        <f t="shared" si="54"/>
        <v>0</v>
      </c>
      <c r="L61" s="764">
        <f t="shared" si="54"/>
        <v>0</v>
      </c>
      <c r="M61" s="766">
        <f>SUM(F61:L61)</f>
        <v>27593778.149999999</v>
      </c>
      <c r="N61" s="766">
        <f>N65+N69</f>
        <v>1000000</v>
      </c>
      <c r="O61" s="766">
        <f t="shared" ref="O61:Q61" si="55">O65+O69</f>
        <v>0</v>
      </c>
      <c r="P61" s="766">
        <f t="shared" si="55"/>
        <v>0</v>
      </c>
      <c r="Q61" s="766">
        <f t="shared" si="55"/>
        <v>0</v>
      </c>
      <c r="R61" s="764">
        <f>SUM(M61:Q61)</f>
        <v>28593778.149999999</v>
      </c>
      <c r="S61" s="767">
        <f>S65+S69</f>
        <v>6.25</v>
      </c>
    </row>
    <row r="62" spans="1:19" ht="15.75" customHeight="1" x14ac:dyDescent="0.2">
      <c r="A62" s="576"/>
      <c r="B62" s="607"/>
      <c r="C62" s="1879"/>
      <c r="D62" s="1894"/>
      <c r="E62" s="763" t="s">
        <v>255</v>
      </c>
      <c r="F62" s="764">
        <f t="shared" ref="F62:L63" si="56">F66+F70</f>
        <v>19120014</v>
      </c>
      <c r="G62" s="764">
        <f t="shared" si="56"/>
        <v>3924963</v>
      </c>
      <c r="H62" s="765">
        <f t="shared" si="56"/>
        <v>12048910</v>
      </c>
      <c r="I62" s="764">
        <f t="shared" si="56"/>
        <v>0</v>
      </c>
      <c r="J62" s="764">
        <f t="shared" si="56"/>
        <v>0</v>
      </c>
      <c r="K62" s="764">
        <f t="shared" si="56"/>
        <v>0</v>
      </c>
      <c r="L62" s="764">
        <f t="shared" si="56"/>
        <v>0</v>
      </c>
      <c r="M62" s="766">
        <f t="shared" ref="M62:M63" si="57">SUM(F62:L62)</f>
        <v>35093887</v>
      </c>
      <c r="N62" s="766">
        <f t="shared" ref="N62:Q63" si="58">N66+N70</f>
        <v>1610492</v>
      </c>
      <c r="O62" s="766">
        <f t="shared" si="58"/>
        <v>0</v>
      </c>
      <c r="P62" s="766">
        <f t="shared" si="58"/>
        <v>0</v>
      </c>
      <c r="Q62" s="766">
        <f t="shared" si="58"/>
        <v>0</v>
      </c>
      <c r="R62" s="764">
        <f t="shared" ref="R62:R63" si="59">SUM(M62:Q62)</f>
        <v>36704379</v>
      </c>
      <c r="S62" s="767">
        <f t="shared" ref="S62:S63" si="60">S66+S70</f>
        <v>6</v>
      </c>
    </row>
    <row r="63" spans="1:19" ht="15.75" customHeight="1" thickBot="1" x14ac:dyDescent="0.25">
      <c r="A63" s="576"/>
      <c r="B63" s="607"/>
      <c r="C63" s="1880"/>
      <c r="D63" s="1895"/>
      <c r="E63" s="768" t="s">
        <v>256</v>
      </c>
      <c r="F63" s="769">
        <f t="shared" si="56"/>
        <v>17462431</v>
      </c>
      <c r="G63" s="769">
        <f t="shared" si="56"/>
        <v>3495760</v>
      </c>
      <c r="H63" s="770">
        <f>H67+H71</f>
        <v>12031641</v>
      </c>
      <c r="I63" s="769">
        <f t="shared" si="56"/>
        <v>0</v>
      </c>
      <c r="J63" s="769">
        <f t="shared" si="56"/>
        <v>0</v>
      </c>
      <c r="K63" s="769">
        <f t="shared" si="56"/>
        <v>0</v>
      </c>
      <c r="L63" s="769">
        <f t="shared" si="56"/>
        <v>0</v>
      </c>
      <c r="M63" s="771">
        <f t="shared" si="57"/>
        <v>32989832</v>
      </c>
      <c r="N63" s="771">
        <f>N67+N71</f>
        <v>1610470</v>
      </c>
      <c r="O63" s="771">
        <f t="shared" si="58"/>
        <v>0</v>
      </c>
      <c r="P63" s="771">
        <f t="shared" si="58"/>
        <v>0</v>
      </c>
      <c r="Q63" s="771">
        <f t="shared" si="58"/>
        <v>0</v>
      </c>
      <c r="R63" s="769">
        <f t="shared" si="59"/>
        <v>34600302</v>
      </c>
      <c r="S63" s="767">
        <f t="shared" si="60"/>
        <v>6</v>
      </c>
    </row>
    <row r="64" spans="1:19" ht="15.75" customHeight="1" x14ac:dyDescent="0.2">
      <c r="A64" s="576"/>
      <c r="B64" s="607"/>
      <c r="C64" s="772"/>
      <c r="D64" s="1862" t="s">
        <v>54</v>
      </c>
      <c r="E64" s="773" t="s">
        <v>65</v>
      </c>
      <c r="F64" s="592"/>
      <c r="G64" s="592"/>
      <c r="H64" s="774"/>
      <c r="I64" s="592"/>
      <c r="J64" s="592"/>
      <c r="K64" s="592"/>
      <c r="L64" s="592"/>
      <c r="M64" s="591"/>
      <c r="N64" s="591"/>
      <c r="O64" s="591"/>
      <c r="P64" s="591"/>
      <c r="Q64" s="591"/>
      <c r="R64" s="592"/>
      <c r="S64" s="564"/>
    </row>
    <row r="65" spans="1:19" ht="15.75" customHeight="1" x14ac:dyDescent="0.2">
      <c r="A65" s="724"/>
      <c r="B65" s="725"/>
      <c r="C65" s="726"/>
      <c r="D65" s="1862"/>
      <c r="E65" s="1027" t="s">
        <v>254</v>
      </c>
      <c r="F65" s="887">
        <v>7368415</v>
      </c>
      <c r="G65" s="887">
        <f>F65*21%-350</f>
        <v>1547017.15</v>
      </c>
      <c r="H65" s="750">
        <v>6000559</v>
      </c>
      <c r="I65" s="887"/>
      <c r="J65" s="887"/>
      <c r="K65" s="887"/>
      <c r="L65" s="889"/>
      <c r="M65" s="888">
        <f>SUM(F65:L65)</f>
        <v>14915991.15</v>
      </c>
      <c r="N65" s="886">
        <v>500000</v>
      </c>
      <c r="O65" s="888"/>
      <c r="P65" s="888"/>
      <c r="Q65" s="888"/>
      <c r="R65" s="889">
        <f>SUM(M65:Q65)</f>
        <v>15415991.15</v>
      </c>
      <c r="S65" s="885">
        <v>3.25</v>
      </c>
    </row>
    <row r="66" spans="1:19" s="88" customFormat="1" ht="15.75" customHeight="1" x14ac:dyDescent="0.2">
      <c r="A66" s="608">
        <v>1</v>
      </c>
      <c r="B66" s="609"/>
      <c r="C66" s="726"/>
      <c r="D66" s="1862"/>
      <c r="E66" s="1027" t="s">
        <v>255</v>
      </c>
      <c r="F66" s="887">
        <v>8578796</v>
      </c>
      <c r="G66" s="887">
        <v>1794566</v>
      </c>
      <c r="H66" s="750">
        <v>8048910</v>
      </c>
      <c r="I66" s="887">
        <f t="shared" ref="I66:L66" si="61">I67+I70</f>
        <v>0</v>
      </c>
      <c r="J66" s="887">
        <f t="shared" si="61"/>
        <v>0</v>
      </c>
      <c r="K66" s="887">
        <f t="shared" si="61"/>
        <v>0</v>
      </c>
      <c r="L66" s="887">
        <f t="shared" si="61"/>
        <v>0</v>
      </c>
      <c r="M66" s="888">
        <f>SUM(F66:L66)</f>
        <v>18422272</v>
      </c>
      <c r="N66" s="886">
        <v>324580</v>
      </c>
      <c r="O66" s="886"/>
      <c r="P66" s="886"/>
      <c r="Q66" s="886"/>
      <c r="R66" s="889">
        <f>M66+N66+O66+P66+Q66</f>
        <v>18746852</v>
      </c>
      <c r="S66" s="885">
        <v>3</v>
      </c>
    </row>
    <row r="67" spans="1:19" s="88" customFormat="1" ht="15.75" customHeight="1" x14ac:dyDescent="0.2">
      <c r="A67" s="727"/>
      <c r="B67" s="728"/>
      <c r="C67" s="726"/>
      <c r="D67" s="1863"/>
      <c r="E67" s="1027" t="s">
        <v>256</v>
      </c>
      <c r="F67" s="730">
        <f>1822920+3009304+2253644</f>
        <v>7085868</v>
      </c>
      <c r="G67" s="730">
        <f>349921+591054+446458</f>
        <v>1387433</v>
      </c>
      <c r="H67" s="751">
        <f>628460+7184849+231587+14</f>
        <v>8044910</v>
      </c>
      <c r="I67" s="730"/>
      <c r="J67" s="730"/>
      <c r="K67" s="730"/>
      <c r="L67" s="730">
        <v>0</v>
      </c>
      <c r="M67" s="888">
        <f t="shared" ref="M67:M69" si="62">SUM(F67:L67)</f>
        <v>16518211</v>
      </c>
      <c r="N67" s="590">
        <f>302090+22490</f>
        <v>324580</v>
      </c>
      <c r="O67" s="590"/>
      <c r="P67" s="590"/>
      <c r="Q67" s="590"/>
      <c r="R67" s="592">
        <f t="shared" ref="R67:R71" si="63">M67+N67+O67+P67+Q67</f>
        <v>16842791</v>
      </c>
      <c r="S67" s="564">
        <v>3</v>
      </c>
    </row>
    <row r="68" spans="1:19" s="88" customFormat="1" ht="15.75" customHeight="1" x14ac:dyDescent="0.2">
      <c r="A68" s="727"/>
      <c r="B68" s="728"/>
      <c r="C68" s="729"/>
      <c r="D68" s="1896" t="s">
        <v>55</v>
      </c>
      <c r="E68" s="156" t="s">
        <v>66</v>
      </c>
      <c r="F68" s="730"/>
      <c r="G68" s="730"/>
      <c r="H68" s="751"/>
      <c r="I68" s="730"/>
      <c r="J68" s="730"/>
      <c r="K68" s="730"/>
      <c r="L68" s="730"/>
      <c r="M68" s="888"/>
      <c r="N68" s="590"/>
      <c r="O68" s="590"/>
      <c r="P68" s="590"/>
      <c r="Q68" s="590"/>
      <c r="R68" s="592"/>
      <c r="S68" s="564"/>
    </row>
    <row r="69" spans="1:19" s="88" customFormat="1" ht="15.75" customHeight="1" x14ac:dyDescent="0.2">
      <c r="A69" s="727"/>
      <c r="B69" s="728"/>
      <c r="C69" s="729"/>
      <c r="D69" s="1897"/>
      <c r="E69" s="1027" t="s">
        <v>254</v>
      </c>
      <c r="F69" s="730">
        <v>9477115</v>
      </c>
      <c r="G69" s="730">
        <f>F69*20%</f>
        <v>1895423</v>
      </c>
      <c r="H69" s="751">
        <v>1305249</v>
      </c>
      <c r="I69" s="730"/>
      <c r="J69" s="730"/>
      <c r="K69" s="730"/>
      <c r="L69" s="730"/>
      <c r="M69" s="888">
        <f t="shared" si="62"/>
        <v>12677787</v>
      </c>
      <c r="N69" s="590">
        <v>500000</v>
      </c>
      <c r="O69" s="590"/>
      <c r="P69" s="590"/>
      <c r="Q69" s="590"/>
      <c r="R69" s="592">
        <f t="shared" si="63"/>
        <v>13177787</v>
      </c>
      <c r="S69" s="564">
        <v>3</v>
      </c>
    </row>
    <row r="70" spans="1:19" s="88" customFormat="1" ht="15.75" customHeight="1" x14ac:dyDescent="0.2">
      <c r="A70" s="610"/>
      <c r="B70" s="611"/>
      <c r="C70" s="729"/>
      <c r="D70" s="1897"/>
      <c r="E70" s="1027" t="s">
        <v>255</v>
      </c>
      <c r="F70" s="730">
        <v>10541218</v>
      </c>
      <c r="G70" s="730">
        <v>2130397</v>
      </c>
      <c r="H70" s="751">
        <v>4000000</v>
      </c>
      <c r="I70" s="730"/>
      <c r="J70" s="730"/>
      <c r="K70" s="730"/>
      <c r="L70" s="730">
        <v>0</v>
      </c>
      <c r="M70" s="888">
        <f>SUM(F70:L70)</f>
        <v>16671615</v>
      </c>
      <c r="N70" s="590">
        <v>1285912</v>
      </c>
      <c r="O70" s="590"/>
      <c r="P70" s="590"/>
      <c r="Q70" s="590"/>
      <c r="R70" s="592">
        <f t="shared" si="63"/>
        <v>17957527</v>
      </c>
      <c r="S70" s="564">
        <v>3</v>
      </c>
    </row>
    <row r="71" spans="1:19" s="88" customFormat="1" ht="15.75" customHeight="1" x14ac:dyDescent="0.2">
      <c r="A71" s="727"/>
      <c r="B71" s="728"/>
      <c r="C71" s="733"/>
      <c r="D71" s="1898"/>
      <c r="E71" s="1027" t="s">
        <v>256</v>
      </c>
      <c r="F71" s="730">
        <f>5479377+4897186</f>
        <v>10376563</v>
      </c>
      <c r="G71" s="730">
        <f>1141529+966798</f>
        <v>2108327</v>
      </c>
      <c r="H71" s="751">
        <f>674422+3312309</f>
        <v>3986731</v>
      </c>
      <c r="I71" s="730"/>
      <c r="J71" s="730"/>
      <c r="K71" s="730"/>
      <c r="L71" s="730"/>
      <c r="M71" s="888">
        <f t="shared" ref="M71:M83" si="64">SUM(F71:L71)</f>
        <v>16471621</v>
      </c>
      <c r="N71" s="590">
        <f>1285890+0</f>
        <v>1285890</v>
      </c>
      <c r="O71" s="590"/>
      <c r="P71" s="590"/>
      <c r="Q71" s="590"/>
      <c r="R71" s="592">
        <f t="shared" si="63"/>
        <v>17757511</v>
      </c>
      <c r="S71" s="564">
        <v>3</v>
      </c>
    </row>
    <row r="72" spans="1:19" s="88" customFormat="1" ht="15.75" customHeight="1" x14ac:dyDescent="0.2">
      <c r="A72" s="608">
        <v>2</v>
      </c>
      <c r="B72" s="609"/>
      <c r="C72" s="1881" t="s">
        <v>267</v>
      </c>
      <c r="D72" s="1864"/>
      <c r="E72" s="775" t="s">
        <v>213</v>
      </c>
      <c r="F72" s="776"/>
      <c r="G72" s="776"/>
      <c r="H72" s="777"/>
      <c r="I72" s="776"/>
      <c r="J72" s="776"/>
      <c r="K72" s="776"/>
      <c r="L72" s="776"/>
      <c r="M72" s="766"/>
      <c r="N72" s="778"/>
      <c r="O72" s="778"/>
      <c r="P72" s="778"/>
      <c r="Q72" s="778"/>
      <c r="R72" s="779"/>
      <c r="S72" s="780"/>
    </row>
    <row r="73" spans="1:19" s="88" customFormat="1" ht="15.75" customHeight="1" x14ac:dyDescent="0.2">
      <c r="A73" s="608"/>
      <c r="B73" s="609"/>
      <c r="C73" s="1882"/>
      <c r="D73" s="1865"/>
      <c r="E73" s="781" t="s">
        <v>254</v>
      </c>
      <c r="F73" s="776">
        <f>F77+F81</f>
        <v>9879042</v>
      </c>
      <c r="G73" s="776">
        <f t="shared" ref="G73:L73" si="65">G77+G81</f>
        <v>1975808.4000000001</v>
      </c>
      <c r="H73" s="777">
        <f t="shared" si="65"/>
        <v>25304192</v>
      </c>
      <c r="I73" s="776">
        <f t="shared" si="65"/>
        <v>0</v>
      </c>
      <c r="J73" s="776">
        <f t="shared" si="65"/>
        <v>0</v>
      </c>
      <c r="K73" s="776">
        <f t="shared" si="65"/>
        <v>0</v>
      </c>
      <c r="L73" s="776">
        <f t="shared" si="65"/>
        <v>0</v>
      </c>
      <c r="M73" s="766">
        <f t="shared" si="64"/>
        <v>37159042.399999999</v>
      </c>
      <c r="N73" s="778">
        <f>N77+N81</f>
        <v>1000000</v>
      </c>
      <c r="O73" s="778">
        <f t="shared" ref="O73:Q73" si="66">O77+O81</f>
        <v>0</v>
      </c>
      <c r="P73" s="778">
        <f t="shared" si="66"/>
        <v>0</v>
      </c>
      <c r="Q73" s="778">
        <f t="shared" si="66"/>
        <v>0</v>
      </c>
      <c r="R73" s="779">
        <f>SUM(M73:Q73)</f>
        <v>38159042.399999999</v>
      </c>
      <c r="S73" s="780">
        <f>S77+S81</f>
        <v>3.75</v>
      </c>
    </row>
    <row r="74" spans="1:19" s="88" customFormat="1" ht="15.75" customHeight="1" x14ac:dyDescent="0.2">
      <c r="A74" s="608"/>
      <c r="B74" s="609"/>
      <c r="C74" s="1882"/>
      <c r="D74" s="1865"/>
      <c r="E74" s="781" t="s">
        <v>255</v>
      </c>
      <c r="F74" s="776">
        <f t="shared" ref="F74:L75" si="67">F78+F82</f>
        <v>7506550</v>
      </c>
      <c r="G74" s="776">
        <f t="shared" si="67"/>
        <v>1493286</v>
      </c>
      <c r="H74" s="777">
        <f t="shared" si="67"/>
        <v>24389919</v>
      </c>
      <c r="I74" s="776">
        <f t="shared" si="67"/>
        <v>0</v>
      </c>
      <c r="J74" s="776">
        <f t="shared" si="67"/>
        <v>0</v>
      </c>
      <c r="K74" s="776">
        <f t="shared" si="67"/>
        <v>0</v>
      </c>
      <c r="L74" s="776">
        <f t="shared" si="67"/>
        <v>0</v>
      </c>
      <c r="M74" s="766">
        <f t="shared" si="64"/>
        <v>33389755</v>
      </c>
      <c r="N74" s="778">
        <f t="shared" ref="N74:Q75" si="68">N78+N82</f>
        <v>55467</v>
      </c>
      <c r="O74" s="778">
        <f t="shared" si="68"/>
        <v>0</v>
      </c>
      <c r="P74" s="778">
        <f t="shared" si="68"/>
        <v>0</v>
      </c>
      <c r="Q74" s="778">
        <f t="shared" si="68"/>
        <v>0</v>
      </c>
      <c r="R74" s="779">
        <f t="shared" ref="R74:R83" si="69">SUM(M74:Q74)</f>
        <v>33445222</v>
      </c>
      <c r="S74" s="780">
        <f t="shared" ref="S74:S75" si="70">S78+S82</f>
        <v>4</v>
      </c>
    </row>
    <row r="75" spans="1:19" s="88" customFormat="1" ht="15.75" customHeight="1" x14ac:dyDescent="0.2">
      <c r="A75" s="608"/>
      <c r="B75" s="609"/>
      <c r="C75" s="1883"/>
      <c r="D75" s="1866"/>
      <c r="E75" s="781" t="s">
        <v>256</v>
      </c>
      <c r="F75" s="776">
        <f t="shared" si="67"/>
        <v>7226105</v>
      </c>
      <c r="G75" s="776">
        <f t="shared" si="67"/>
        <v>1452299</v>
      </c>
      <c r="H75" s="777">
        <f>H79+H83-1</f>
        <v>24361823</v>
      </c>
      <c r="I75" s="776">
        <f t="shared" si="67"/>
        <v>0</v>
      </c>
      <c r="J75" s="776">
        <f t="shared" si="67"/>
        <v>0</v>
      </c>
      <c r="K75" s="776">
        <f t="shared" si="67"/>
        <v>0</v>
      </c>
      <c r="L75" s="776">
        <f t="shared" si="67"/>
        <v>0</v>
      </c>
      <c r="M75" s="766">
        <f t="shared" si="64"/>
        <v>33040227</v>
      </c>
      <c r="N75" s="778">
        <f>N79+N83+1</f>
        <v>55468</v>
      </c>
      <c r="O75" s="778">
        <f t="shared" si="68"/>
        <v>0</v>
      </c>
      <c r="P75" s="778">
        <f t="shared" si="68"/>
        <v>0</v>
      </c>
      <c r="Q75" s="778">
        <f t="shared" si="68"/>
        <v>0</v>
      </c>
      <c r="R75" s="779">
        <f t="shared" si="69"/>
        <v>33095695</v>
      </c>
      <c r="S75" s="780">
        <f t="shared" si="70"/>
        <v>6</v>
      </c>
    </row>
    <row r="76" spans="1:19" s="88" customFormat="1" ht="15.75" customHeight="1" x14ac:dyDescent="0.2">
      <c r="A76" s="610"/>
      <c r="B76" s="611"/>
      <c r="C76" s="733"/>
      <c r="D76" s="734" t="s">
        <v>54</v>
      </c>
      <c r="E76" s="156" t="s">
        <v>65</v>
      </c>
      <c r="F76" s="730"/>
      <c r="G76" s="730"/>
      <c r="H76" s="751"/>
      <c r="I76" s="730"/>
      <c r="J76" s="730"/>
      <c r="K76" s="730"/>
      <c r="L76" s="730"/>
      <c r="M76" s="888">
        <f t="shared" si="64"/>
        <v>0</v>
      </c>
      <c r="N76" s="590"/>
      <c r="O76" s="590"/>
      <c r="P76" s="590"/>
      <c r="Q76" s="590"/>
      <c r="R76" s="592"/>
      <c r="S76" s="564"/>
    </row>
    <row r="77" spans="1:19" s="88" customFormat="1" ht="15.75" customHeight="1" x14ac:dyDescent="0.2">
      <c r="A77" s="731"/>
      <c r="B77" s="732"/>
      <c r="C77" s="733"/>
      <c r="D77" s="734"/>
      <c r="E77" s="1027" t="s">
        <v>254</v>
      </c>
      <c r="F77" s="730">
        <v>5022634</v>
      </c>
      <c r="G77" s="730">
        <f>F77*20%</f>
        <v>1004526.8</v>
      </c>
      <c r="H77" s="751">
        <v>23563471</v>
      </c>
      <c r="I77" s="730"/>
      <c r="J77" s="730"/>
      <c r="K77" s="730"/>
      <c r="L77" s="730"/>
      <c r="M77" s="888">
        <f t="shared" si="64"/>
        <v>29590631.800000001</v>
      </c>
      <c r="N77" s="590">
        <v>500000</v>
      </c>
      <c r="O77" s="590"/>
      <c r="P77" s="590"/>
      <c r="Q77" s="590"/>
      <c r="R77" s="592">
        <f t="shared" si="69"/>
        <v>30090631.800000001</v>
      </c>
      <c r="S77" s="564">
        <v>2.5</v>
      </c>
    </row>
    <row r="78" spans="1:19" s="25" customFormat="1" ht="15.75" customHeight="1" x14ac:dyDescent="0.2">
      <c r="A78" s="612"/>
      <c r="B78" s="613"/>
      <c r="C78" s="782"/>
      <c r="D78" s="783"/>
      <c r="E78" s="1027" t="s">
        <v>255</v>
      </c>
      <c r="F78" s="740">
        <v>6206550</v>
      </c>
      <c r="G78" s="739">
        <v>1266517</v>
      </c>
      <c r="H78" s="752">
        <v>23537742</v>
      </c>
      <c r="I78" s="740"/>
      <c r="J78" s="739"/>
      <c r="K78" s="739"/>
      <c r="L78" s="739">
        <v>0</v>
      </c>
      <c r="M78" s="888">
        <f t="shared" si="64"/>
        <v>31010809</v>
      </c>
      <c r="N78" s="739">
        <v>55467</v>
      </c>
      <c r="O78" s="739"/>
      <c r="P78" s="739"/>
      <c r="Q78" s="739"/>
      <c r="R78" s="592">
        <f t="shared" si="69"/>
        <v>31066276</v>
      </c>
      <c r="S78" s="741">
        <v>2</v>
      </c>
    </row>
    <row r="79" spans="1:19" s="25" customFormat="1" ht="15.75" customHeight="1" x14ac:dyDescent="0.2">
      <c r="A79" s="735"/>
      <c r="B79" s="736"/>
      <c r="C79" s="737"/>
      <c r="D79" s="734"/>
      <c r="E79" s="1027" t="s">
        <v>256</v>
      </c>
      <c r="F79" s="740">
        <v>6106550</v>
      </c>
      <c r="G79" s="739">
        <v>1225530</v>
      </c>
      <c r="H79" s="752">
        <f>23270706+258941</f>
        <v>23529647</v>
      </c>
      <c r="I79" s="740"/>
      <c r="J79" s="739"/>
      <c r="K79" s="739"/>
      <c r="L79" s="739"/>
      <c r="M79" s="888">
        <f t="shared" si="64"/>
        <v>30861727</v>
      </c>
      <c r="N79" s="739">
        <v>55467</v>
      </c>
      <c r="O79" s="739"/>
      <c r="P79" s="739"/>
      <c r="Q79" s="739"/>
      <c r="R79" s="592">
        <f t="shared" si="69"/>
        <v>30917194</v>
      </c>
      <c r="S79" s="741">
        <v>4</v>
      </c>
    </row>
    <row r="80" spans="1:19" s="25" customFormat="1" ht="15.75" customHeight="1" x14ac:dyDescent="0.2">
      <c r="A80" s="614"/>
      <c r="B80" s="615"/>
      <c r="C80" s="737"/>
      <c r="D80" s="734" t="s">
        <v>55</v>
      </c>
      <c r="E80" s="784" t="s">
        <v>66</v>
      </c>
      <c r="F80" s="738"/>
      <c r="G80" s="739"/>
      <c r="H80" s="752"/>
      <c r="I80" s="740"/>
      <c r="J80" s="739"/>
      <c r="K80" s="739"/>
      <c r="L80" s="739"/>
      <c r="M80" s="888">
        <f t="shared" si="64"/>
        <v>0</v>
      </c>
      <c r="N80" s="739"/>
      <c r="O80" s="739"/>
      <c r="P80" s="739"/>
      <c r="Q80" s="739"/>
      <c r="R80" s="592"/>
      <c r="S80" s="741"/>
    </row>
    <row r="81" spans="1:19" s="25" customFormat="1" ht="15.75" customHeight="1" x14ac:dyDescent="0.2">
      <c r="A81" s="735"/>
      <c r="B81" s="736"/>
      <c r="C81" s="737"/>
      <c r="D81" s="734"/>
      <c r="E81" s="1027" t="s">
        <v>254</v>
      </c>
      <c r="F81" s="738">
        <v>4856408</v>
      </c>
      <c r="G81" s="739">
        <f>F81*20%</f>
        <v>971281.60000000009</v>
      </c>
      <c r="H81" s="752">
        <v>1740721</v>
      </c>
      <c r="I81" s="740"/>
      <c r="J81" s="739"/>
      <c r="K81" s="739"/>
      <c r="L81" s="739"/>
      <c r="M81" s="888">
        <f t="shared" si="64"/>
        <v>7568410.5999999996</v>
      </c>
      <c r="N81" s="739">
        <v>500000</v>
      </c>
      <c r="O81" s="739"/>
      <c r="P81" s="739"/>
      <c r="Q81" s="739"/>
      <c r="R81" s="592">
        <f t="shared" si="69"/>
        <v>8068410.5999999996</v>
      </c>
      <c r="S81" s="741">
        <v>1.25</v>
      </c>
    </row>
    <row r="82" spans="1:19" s="25" customFormat="1" ht="15.75" customHeight="1" thickBot="1" x14ac:dyDescent="0.25">
      <c r="A82" s="614"/>
      <c r="B82" s="616"/>
      <c r="C82" s="785"/>
      <c r="D82" s="745"/>
      <c r="E82" s="1027" t="s">
        <v>255</v>
      </c>
      <c r="F82" s="738">
        <v>1300000</v>
      </c>
      <c r="G82" s="739">
        <v>226769</v>
      </c>
      <c r="H82" s="752">
        <v>852177</v>
      </c>
      <c r="I82" s="740"/>
      <c r="J82" s="739"/>
      <c r="K82" s="739"/>
      <c r="L82" s="739">
        <v>0</v>
      </c>
      <c r="M82" s="888">
        <f t="shared" si="64"/>
        <v>2378946</v>
      </c>
      <c r="N82" s="739">
        <v>0</v>
      </c>
      <c r="O82" s="739"/>
      <c r="P82" s="739"/>
      <c r="Q82" s="739"/>
      <c r="R82" s="592">
        <f t="shared" si="69"/>
        <v>2378946</v>
      </c>
      <c r="S82" s="741">
        <v>2</v>
      </c>
    </row>
    <row r="83" spans="1:19" s="25" customFormat="1" ht="15.75" customHeight="1" thickBot="1" x14ac:dyDescent="0.25">
      <c r="A83" s="735"/>
      <c r="B83" s="744"/>
      <c r="C83" s="737"/>
      <c r="D83" s="745"/>
      <c r="E83" s="1027" t="s">
        <v>256</v>
      </c>
      <c r="F83" s="738">
        <v>1119555</v>
      </c>
      <c r="G83" s="739">
        <v>226769</v>
      </c>
      <c r="H83" s="752">
        <v>832177</v>
      </c>
      <c r="I83" s="740"/>
      <c r="J83" s="739"/>
      <c r="K83" s="739"/>
      <c r="L83" s="739"/>
      <c r="M83" s="888">
        <f t="shared" si="64"/>
        <v>2178501</v>
      </c>
      <c r="N83" s="739">
        <v>0</v>
      </c>
      <c r="O83" s="739"/>
      <c r="P83" s="739"/>
      <c r="Q83" s="739"/>
      <c r="R83" s="592">
        <f t="shared" si="69"/>
        <v>2178501</v>
      </c>
      <c r="S83" s="741">
        <v>2</v>
      </c>
    </row>
    <row r="84" spans="1:19" s="25" customFormat="1" ht="15.75" customHeight="1" thickBot="1" x14ac:dyDescent="0.25">
      <c r="A84" s="614"/>
      <c r="B84" s="617"/>
      <c r="C84" s="1904" t="s">
        <v>4</v>
      </c>
      <c r="D84" s="1914"/>
      <c r="E84" s="177" t="s">
        <v>189</v>
      </c>
      <c r="F84" s="176"/>
      <c r="G84" s="160"/>
      <c r="H84" s="178"/>
      <c r="I84" s="180"/>
      <c r="J84" s="161"/>
      <c r="K84" s="163"/>
      <c r="L84" s="161"/>
      <c r="M84" s="170"/>
      <c r="N84" s="161"/>
      <c r="O84" s="161"/>
      <c r="P84" s="162"/>
      <c r="Q84" s="163"/>
      <c r="R84" s="164"/>
      <c r="S84" s="165"/>
    </row>
    <row r="85" spans="1:19" s="25" customFormat="1" ht="15.75" customHeight="1" thickBot="1" x14ac:dyDescent="0.25">
      <c r="A85" s="614"/>
      <c r="B85" s="617"/>
      <c r="C85" s="1905"/>
      <c r="D85" s="1914"/>
      <c r="E85" s="147" t="s">
        <v>254</v>
      </c>
      <c r="F85" s="176">
        <f>F89+F93</f>
        <v>37534997</v>
      </c>
      <c r="G85" s="159">
        <f t="shared" ref="G85:L85" si="71">G89+G93</f>
        <v>7190911</v>
      </c>
      <c r="H85" s="179">
        <f t="shared" si="71"/>
        <v>3739000</v>
      </c>
      <c r="I85" s="181">
        <f t="shared" si="71"/>
        <v>0</v>
      </c>
      <c r="J85" s="181">
        <f t="shared" si="71"/>
        <v>0</v>
      </c>
      <c r="K85" s="182">
        <f t="shared" si="71"/>
        <v>0</v>
      </c>
      <c r="L85" s="181">
        <f t="shared" si="71"/>
        <v>0</v>
      </c>
      <c r="M85" s="184">
        <f>SUM(F85:L85)</f>
        <v>48464908</v>
      </c>
      <c r="N85" s="166">
        <f>N89+N93</f>
        <v>500000</v>
      </c>
      <c r="O85" s="166"/>
      <c r="P85" s="167"/>
      <c r="Q85" s="161"/>
      <c r="R85" s="168">
        <f>SUM(M85:Q85)</f>
        <v>48964908</v>
      </c>
      <c r="S85" s="165">
        <f>S89+S93</f>
        <v>14</v>
      </c>
    </row>
    <row r="86" spans="1:19" ht="15.75" customHeight="1" thickBot="1" x14ac:dyDescent="0.25">
      <c r="A86" s="575" t="s">
        <v>4</v>
      </c>
      <c r="B86" s="618"/>
      <c r="C86" s="1905"/>
      <c r="D86" s="1914"/>
      <c r="E86" s="169" t="s">
        <v>255</v>
      </c>
      <c r="F86" s="159">
        <f t="shared" ref="F86:L87" si="72">F90+F94</f>
        <v>38228997</v>
      </c>
      <c r="G86" s="159">
        <f t="shared" si="72"/>
        <v>7338751</v>
      </c>
      <c r="H86" s="179">
        <f t="shared" si="72"/>
        <v>4223178</v>
      </c>
      <c r="I86" s="181">
        <f t="shared" si="72"/>
        <v>0</v>
      </c>
      <c r="J86" s="181">
        <f t="shared" si="72"/>
        <v>0</v>
      </c>
      <c r="K86" s="182">
        <f t="shared" si="72"/>
        <v>0</v>
      </c>
      <c r="L86" s="181">
        <f t="shared" si="72"/>
        <v>0</v>
      </c>
      <c r="M86" s="184">
        <f t="shared" ref="M86:M87" si="73">SUM(F86:L86)</f>
        <v>49790926</v>
      </c>
      <c r="N86" s="166">
        <f t="shared" ref="N86:N87" si="74">N90+N94</f>
        <v>76100</v>
      </c>
      <c r="O86" s="570">
        <f t="shared" ref="O86:Q86" si="75">O90+O95</f>
        <v>0</v>
      </c>
      <c r="P86" s="170">
        <f t="shared" si="75"/>
        <v>0</v>
      </c>
      <c r="Q86" s="570">
        <f t="shared" si="75"/>
        <v>0</v>
      </c>
      <c r="R86" s="168">
        <f t="shared" ref="R86:R87" si="76">SUM(M86:Q86)</f>
        <v>49867026</v>
      </c>
      <c r="S86" s="165">
        <f t="shared" ref="S86:S87" si="77">S90+S94</f>
        <v>14</v>
      </c>
    </row>
    <row r="87" spans="1:19" ht="15.75" customHeight="1" thickBot="1" x14ac:dyDescent="0.25">
      <c r="A87" s="576"/>
      <c r="B87" s="619"/>
      <c r="C87" s="1905"/>
      <c r="D87" s="187"/>
      <c r="E87" s="147" t="s">
        <v>256</v>
      </c>
      <c r="F87" s="159">
        <f t="shared" si="72"/>
        <v>33994510</v>
      </c>
      <c r="G87" s="159">
        <f t="shared" si="72"/>
        <v>6671133</v>
      </c>
      <c r="H87" s="179">
        <f t="shared" si="72"/>
        <v>4206621</v>
      </c>
      <c r="I87" s="181">
        <f t="shared" si="72"/>
        <v>0</v>
      </c>
      <c r="J87" s="181">
        <f t="shared" si="72"/>
        <v>0</v>
      </c>
      <c r="K87" s="182">
        <f t="shared" si="72"/>
        <v>0</v>
      </c>
      <c r="L87" s="181">
        <f t="shared" si="72"/>
        <v>0</v>
      </c>
      <c r="M87" s="184">
        <f t="shared" si="73"/>
        <v>44872264</v>
      </c>
      <c r="N87" s="166">
        <f t="shared" si="74"/>
        <v>75000</v>
      </c>
      <c r="O87" s="171"/>
      <c r="P87" s="172"/>
      <c r="Q87" s="171"/>
      <c r="R87" s="168">
        <f t="shared" si="76"/>
        <v>44947264</v>
      </c>
      <c r="S87" s="165">
        <f t="shared" si="77"/>
        <v>14</v>
      </c>
    </row>
    <row r="88" spans="1:19" ht="15.75" customHeight="1" thickBot="1" x14ac:dyDescent="0.25">
      <c r="A88" s="576"/>
      <c r="B88" s="619"/>
      <c r="C88" s="1905"/>
      <c r="D88" s="188" t="s">
        <v>54</v>
      </c>
      <c r="E88" s="573" t="s">
        <v>65</v>
      </c>
      <c r="F88" s="570"/>
      <c r="G88" s="570"/>
      <c r="H88" s="570"/>
      <c r="I88" s="570"/>
      <c r="J88" s="570"/>
      <c r="K88" s="157"/>
      <c r="L88" s="570"/>
      <c r="M88" s="170"/>
      <c r="N88" s="570"/>
      <c r="O88" s="570"/>
      <c r="P88" s="170"/>
      <c r="Q88" s="570"/>
      <c r="R88" s="569"/>
      <c r="S88" s="148"/>
    </row>
    <row r="89" spans="1:19" ht="15.75" customHeight="1" thickBot="1" x14ac:dyDescent="0.25">
      <c r="A89" s="576"/>
      <c r="B89" s="619"/>
      <c r="C89" s="1905"/>
      <c r="D89" s="187"/>
      <c r="E89" s="147" t="s">
        <v>254</v>
      </c>
      <c r="F89" s="570">
        <v>37534997</v>
      </c>
      <c r="G89" s="570">
        <v>7190911</v>
      </c>
      <c r="H89" s="570">
        <v>3739000</v>
      </c>
      <c r="I89" s="570"/>
      <c r="J89" s="170"/>
      <c r="K89" s="183"/>
      <c r="L89" s="570"/>
      <c r="M89" s="170">
        <f>SUM(F89:L89)</f>
        <v>48464908</v>
      </c>
      <c r="N89" s="570">
        <v>500000</v>
      </c>
      <c r="O89" s="570"/>
      <c r="P89" s="170"/>
      <c r="Q89" s="570"/>
      <c r="R89" s="569">
        <f>SUM(M89:Q89)</f>
        <v>48964908</v>
      </c>
      <c r="S89" s="148">
        <v>14</v>
      </c>
    </row>
    <row r="90" spans="1:19" ht="15.75" customHeight="1" thickBot="1" x14ac:dyDescent="0.25">
      <c r="A90" s="576"/>
      <c r="B90" s="619"/>
      <c r="C90" s="1905"/>
      <c r="D90" s="459"/>
      <c r="E90" s="147" t="s">
        <v>255</v>
      </c>
      <c r="F90" s="570">
        <v>38228997</v>
      </c>
      <c r="G90" s="570">
        <v>7338751</v>
      </c>
      <c r="H90" s="569">
        <v>4223178</v>
      </c>
      <c r="I90" s="569"/>
      <c r="J90" s="570"/>
      <c r="K90" s="570"/>
      <c r="L90" s="570">
        <v>0</v>
      </c>
      <c r="M90" s="570">
        <f t="shared" ref="M90:M91" si="78">SUM(F90:L90)</f>
        <v>49790926</v>
      </c>
      <c r="N90" s="171">
        <v>76100</v>
      </c>
      <c r="O90" s="570"/>
      <c r="P90" s="170"/>
      <c r="Q90" s="570"/>
      <c r="R90" s="569">
        <f t="shared" ref="R90:R91" si="79">SUM(M90:Q90)</f>
        <v>49867026</v>
      </c>
      <c r="S90" s="148">
        <v>14</v>
      </c>
    </row>
    <row r="91" spans="1:19" ht="15.75" customHeight="1" thickBot="1" x14ac:dyDescent="0.25">
      <c r="A91" s="576"/>
      <c r="B91" s="619"/>
      <c r="C91" s="1905"/>
      <c r="D91" s="459"/>
      <c r="E91" s="147" t="s">
        <v>256</v>
      </c>
      <c r="F91" s="570">
        <v>33994510</v>
      </c>
      <c r="G91" s="570">
        <v>6671133</v>
      </c>
      <c r="H91" s="569">
        <v>4206621</v>
      </c>
      <c r="I91" s="569"/>
      <c r="J91" s="570"/>
      <c r="K91" s="570"/>
      <c r="L91" s="570"/>
      <c r="M91" s="570">
        <f t="shared" si="78"/>
        <v>44872264</v>
      </c>
      <c r="N91" s="570">
        <v>75000</v>
      </c>
      <c r="O91" s="570"/>
      <c r="P91" s="170"/>
      <c r="Q91" s="570"/>
      <c r="R91" s="569">
        <f t="shared" si="79"/>
        <v>44947264</v>
      </c>
      <c r="S91" s="148">
        <v>14</v>
      </c>
    </row>
    <row r="92" spans="1:19" ht="15.75" customHeight="1" thickBot="1" x14ac:dyDescent="0.25">
      <c r="A92" s="576"/>
      <c r="B92" s="619"/>
      <c r="C92" s="1905"/>
      <c r="D92" s="1917" t="s">
        <v>55</v>
      </c>
      <c r="E92" s="573" t="s">
        <v>66</v>
      </c>
      <c r="F92" s="570"/>
      <c r="G92" s="570"/>
      <c r="H92" s="569"/>
      <c r="I92" s="569"/>
      <c r="J92" s="570"/>
      <c r="K92" s="570"/>
      <c r="L92" s="570"/>
      <c r="M92" s="570"/>
      <c r="N92" s="171"/>
      <c r="O92" s="171"/>
      <c r="P92" s="170"/>
      <c r="Q92" s="570"/>
      <c r="R92" s="569"/>
      <c r="S92" s="148"/>
    </row>
    <row r="93" spans="1:19" ht="15.75" customHeight="1" thickBot="1" x14ac:dyDescent="0.25">
      <c r="A93" s="576"/>
      <c r="B93" s="619"/>
      <c r="C93" s="1905"/>
      <c r="D93" s="1918"/>
      <c r="E93" s="147" t="s">
        <v>254</v>
      </c>
      <c r="F93" s="570"/>
      <c r="G93" s="570"/>
      <c r="H93" s="569"/>
      <c r="I93" s="569"/>
      <c r="J93" s="570"/>
      <c r="K93" s="570"/>
      <c r="L93" s="570"/>
      <c r="M93" s="570"/>
      <c r="N93" s="570"/>
      <c r="O93" s="570"/>
      <c r="P93" s="170"/>
      <c r="Q93" s="570"/>
      <c r="R93" s="569"/>
      <c r="S93" s="148">
        <v>0</v>
      </c>
    </row>
    <row r="94" spans="1:19" ht="15.75" customHeight="1" thickBot="1" x14ac:dyDescent="0.25">
      <c r="A94" s="576"/>
      <c r="B94" s="619"/>
      <c r="C94" s="1905"/>
      <c r="D94" s="1918"/>
      <c r="E94" s="147" t="s">
        <v>255</v>
      </c>
      <c r="F94" s="570"/>
      <c r="G94" s="570"/>
      <c r="H94" s="569"/>
      <c r="I94" s="569"/>
      <c r="J94" s="570"/>
      <c r="K94" s="570"/>
      <c r="L94" s="570"/>
      <c r="M94" s="570"/>
      <c r="N94" s="171"/>
      <c r="O94" s="173"/>
      <c r="P94" s="172"/>
      <c r="Q94" s="171"/>
      <c r="R94" s="569"/>
      <c r="S94" s="148">
        <v>0</v>
      </c>
    </row>
    <row r="95" spans="1:19" ht="15.75" customHeight="1" thickBot="1" x14ac:dyDescent="0.25">
      <c r="A95" s="577"/>
      <c r="B95" s="578"/>
      <c r="C95" s="1906"/>
      <c r="D95" s="1919"/>
      <c r="E95" s="147" t="s">
        <v>256</v>
      </c>
      <c r="F95" s="570">
        <v>0</v>
      </c>
      <c r="G95" s="570">
        <v>0</v>
      </c>
      <c r="H95" s="569">
        <v>0</v>
      </c>
      <c r="I95" s="569"/>
      <c r="J95" s="570"/>
      <c r="K95" s="570"/>
      <c r="L95" s="570"/>
      <c r="M95" s="570">
        <f t="shared" ref="M95" si="80">SUM(F95:L95)</f>
        <v>0</v>
      </c>
      <c r="N95" s="570"/>
      <c r="O95" s="174"/>
      <c r="P95" s="175"/>
      <c r="Q95" s="570"/>
      <c r="R95" s="569">
        <f t="shared" ref="R95" si="81">SUM(M95:Q95)</f>
        <v>0</v>
      </c>
      <c r="S95" s="571">
        <v>0</v>
      </c>
    </row>
    <row r="96" spans="1:19" ht="15.75" customHeight="1" thickBot="1" x14ac:dyDescent="0.25">
      <c r="A96" s="577"/>
      <c r="B96" s="578"/>
      <c r="C96" s="1907"/>
      <c r="D96" s="1915" t="s">
        <v>214</v>
      </c>
      <c r="E96" s="1916"/>
      <c r="F96" s="1916"/>
      <c r="G96" s="1002"/>
      <c r="H96" s="1002"/>
      <c r="I96" s="1002"/>
      <c r="J96" s="1391"/>
      <c r="K96" s="1391"/>
      <c r="L96" s="1391"/>
      <c r="M96" s="1392"/>
      <c r="N96" s="1391"/>
      <c r="O96" s="1391"/>
      <c r="P96" s="1391"/>
      <c r="Q96" s="1391"/>
      <c r="R96" s="1393"/>
      <c r="S96" s="1394"/>
    </row>
    <row r="97" spans="1:19" ht="15.75" customHeight="1" thickBot="1" x14ac:dyDescent="0.25">
      <c r="A97" s="577"/>
      <c r="B97" s="578"/>
      <c r="C97" s="1908"/>
      <c r="D97" s="1395"/>
      <c r="E97" s="1396" t="s">
        <v>254</v>
      </c>
      <c r="F97" s="937">
        <f>F101+F105+F108</f>
        <v>82802138</v>
      </c>
      <c r="G97" s="937">
        <f t="shared" ref="G97:L97" si="82">G101+G105+G108</f>
        <v>17009142.949999999</v>
      </c>
      <c r="H97" s="937">
        <f t="shared" si="82"/>
        <v>41403030</v>
      </c>
      <c r="I97" s="937">
        <f t="shared" si="82"/>
        <v>1819000</v>
      </c>
      <c r="J97" s="937">
        <f t="shared" si="82"/>
        <v>0</v>
      </c>
      <c r="K97" s="937">
        <f t="shared" si="82"/>
        <v>0</v>
      </c>
      <c r="L97" s="937">
        <f t="shared" si="82"/>
        <v>0</v>
      </c>
      <c r="M97" s="937">
        <f>SUM(F97:L97)</f>
        <v>143033310.94999999</v>
      </c>
      <c r="N97" s="937">
        <f>N101+N105+N109</f>
        <v>2600000</v>
      </c>
      <c r="O97" s="937"/>
      <c r="P97" s="937"/>
      <c r="Q97" s="937"/>
      <c r="R97" s="1397">
        <f>SUM(M97:Q97)</f>
        <v>145633310.94999999</v>
      </c>
      <c r="S97" s="2075">
        <f>S101+S109</f>
        <v>33.5</v>
      </c>
    </row>
    <row r="98" spans="1:19" ht="15.75" customHeight="1" thickBot="1" x14ac:dyDescent="0.25">
      <c r="A98" s="620"/>
      <c r="B98" s="620"/>
      <c r="C98" s="1908"/>
      <c r="D98" s="1398"/>
      <c r="E98" s="1396" t="s">
        <v>255</v>
      </c>
      <c r="F98" s="937">
        <f>F102+F110</f>
        <v>98246653</v>
      </c>
      <c r="G98" s="937">
        <f>G102+G110</f>
        <v>20108674</v>
      </c>
      <c r="H98" s="937">
        <f t="shared" ref="H98:L98" si="83">H102+H106+H109</f>
        <v>49487283</v>
      </c>
      <c r="I98" s="937">
        <f t="shared" si="83"/>
        <v>1819000</v>
      </c>
      <c r="J98" s="937">
        <f t="shared" si="83"/>
        <v>0</v>
      </c>
      <c r="K98" s="937">
        <f t="shared" si="83"/>
        <v>0</v>
      </c>
      <c r="L98" s="937">
        <f t="shared" si="83"/>
        <v>0</v>
      </c>
      <c r="M98" s="937">
        <f t="shared" ref="M98:M111" si="84">SUM(F98:L98)</f>
        <v>169661610</v>
      </c>
      <c r="N98" s="937">
        <f t="shared" ref="N98" si="85">N102+N106+N110</f>
        <v>2565959</v>
      </c>
      <c r="O98" s="937">
        <f>O102+O107</f>
        <v>0</v>
      </c>
      <c r="P98" s="937">
        <f>P48+P86</f>
        <v>0</v>
      </c>
      <c r="Q98" s="937">
        <f>Q48+Q86</f>
        <v>0</v>
      </c>
      <c r="R98" s="1397">
        <f t="shared" ref="R98:R111" si="86">SUM(M98:Q98)</f>
        <v>172227569</v>
      </c>
      <c r="S98" s="2075">
        <f t="shared" ref="S98:S99" si="87">S102+S110</f>
        <v>33.5</v>
      </c>
    </row>
    <row r="99" spans="1:19" ht="15.75" customHeight="1" thickBot="1" x14ac:dyDescent="0.25">
      <c r="A99" s="621"/>
      <c r="B99" s="622"/>
      <c r="C99" s="1908"/>
      <c r="D99" s="1399"/>
      <c r="E99" s="1396" t="s">
        <v>256</v>
      </c>
      <c r="F99" s="937">
        <f>F103+F107+F110</f>
        <v>89909482</v>
      </c>
      <c r="G99" s="937">
        <f t="shared" ref="G99:L99" si="88">G103+G107+G110</f>
        <v>17904790</v>
      </c>
      <c r="H99" s="937">
        <f>H103+H107+H111+1</f>
        <v>51077486</v>
      </c>
      <c r="I99" s="937">
        <f t="shared" si="88"/>
        <v>1516000</v>
      </c>
      <c r="J99" s="937">
        <f t="shared" si="88"/>
        <v>0</v>
      </c>
      <c r="K99" s="937">
        <f t="shared" si="88"/>
        <v>0</v>
      </c>
      <c r="L99" s="937">
        <f t="shared" si="88"/>
        <v>0</v>
      </c>
      <c r="M99" s="937">
        <f t="shared" si="84"/>
        <v>160407758</v>
      </c>
      <c r="N99" s="937">
        <f>N103+N107+N111+1</f>
        <v>2563499</v>
      </c>
      <c r="O99" s="937"/>
      <c r="P99" s="937"/>
      <c r="Q99" s="937"/>
      <c r="R99" s="1397">
        <f>SUM(M99:Q99)-1</f>
        <v>162971256</v>
      </c>
      <c r="S99" s="2075">
        <f t="shared" si="87"/>
        <v>33.5</v>
      </c>
    </row>
    <row r="100" spans="1:19" ht="15.75" customHeight="1" thickBot="1" x14ac:dyDescent="0.25">
      <c r="A100" s="621"/>
      <c r="B100" s="622"/>
      <c r="C100" s="1908"/>
      <c r="D100" s="1399"/>
      <c r="E100" s="1003" t="s">
        <v>65</v>
      </c>
      <c r="F100" s="1003"/>
      <c r="G100" s="1003"/>
      <c r="H100" s="1003"/>
      <c r="I100" s="937"/>
      <c r="J100" s="937"/>
      <c r="K100" s="937"/>
      <c r="L100" s="937"/>
      <c r="M100" s="937"/>
      <c r="N100" s="937"/>
      <c r="O100" s="937"/>
      <c r="P100" s="937"/>
      <c r="Q100" s="937"/>
      <c r="R100" s="1397"/>
      <c r="S100" s="2075"/>
    </row>
    <row r="101" spans="1:19" ht="15.75" customHeight="1" thickBot="1" x14ac:dyDescent="0.25">
      <c r="A101" s="621"/>
      <c r="B101" s="622"/>
      <c r="C101" s="1908"/>
      <c r="D101" s="1399"/>
      <c r="E101" s="1396" t="s">
        <v>254</v>
      </c>
      <c r="F101" s="937">
        <f t="shared" ref="F101:L103" si="89">F13+F53+F89</f>
        <v>82802138</v>
      </c>
      <c r="G101" s="937">
        <f t="shared" si="89"/>
        <v>17009142.949999999</v>
      </c>
      <c r="H101" s="937">
        <f t="shared" si="89"/>
        <v>41403030</v>
      </c>
      <c r="I101" s="937">
        <f t="shared" si="89"/>
        <v>1819000</v>
      </c>
      <c r="J101" s="937">
        <f t="shared" si="89"/>
        <v>0</v>
      </c>
      <c r="K101" s="937">
        <f t="shared" si="89"/>
        <v>0</v>
      </c>
      <c r="L101" s="937">
        <f t="shared" si="89"/>
        <v>0</v>
      </c>
      <c r="M101" s="937">
        <f t="shared" si="84"/>
        <v>143033310.94999999</v>
      </c>
      <c r="N101" s="937">
        <f>N13+N53+N89</f>
        <v>1600000</v>
      </c>
      <c r="O101" s="937"/>
      <c r="P101" s="937"/>
      <c r="Q101" s="937"/>
      <c r="R101" s="1397">
        <f t="shared" si="86"/>
        <v>144633310.94999999</v>
      </c>
      <c r="S101" s="2075">
        <f>S89+S53+S13</f>
        <v>29.25</v>
      </c>
    </row>
    <row r="102" spans="1:19" s="25" customFormat="1" ht="15.75" customHeight="1" thickBot="1" x14ac:dyDescent="0.25">
      <c r="A102" s="623"/>
      <c r="B102" s="623"/>
      <c r="C102" s="1908"/>
      <c r="D102" s="1003"/>
      <c r="E102" s="1396" t="s">
        <v>255</v>
      </c>
      <c r="F102" s="937">
        <f t="shared" si="89"/>
        <v>86405435</v>
      </c>
      <c r="G102" s="937">
        <f t="shared" si="89"/>
        <v>17751508</v>
      </c>
      <c r="H102" s="937">
        <f t="shared" si="89"/>
        <v>46441313</v>
      </c>
      <c r="I102" s="937">
        <f t="shared" si="89"/>
        <v>1819000</v>
      </c>
      <c r="J102" s="937">
        <f t="shared" si="89"/>
        <v>0</v>
      </c>
      <c r="K102" s="937">
        <f t="shared" si="89"/>
        <v>0</v>
      </c>
      <c r="L102" s="937">
        <f t="shared" si="89"/>
        <v>0</v>
      </c>
      <c r="M102" s="937">
        <f t="shared" si="84"/>
        <v>152417256</v>
      </c>
      <c r="N102" s="937">
        <f>N14+N54+N90</f>
        <v>1280047</v>
      </c>
      <c r="O102" s="1004">
        <f>O26+O54+O90</f>
        <v>0</v>
      </c>
      <c r="P102" s="1004">
        <f>P78+P86</f>
        <v>0</v>
      </c>
      <c r="Q102" s="1004">
        <f>Q78+Q86</f>
        <v>0</v>
      </c>
      <c r="R102" s="1397">
        <f t="shared" si="86"/>
        <v>153697303</v>
      </c>
      <c r="S102" s="2075">
        <f t="shared" ref="S102:S103" si="90">S90+S54+S14</f>
        <v>28.5</v>
      </c>
    </row>
    <row r="103" spans="1:19" s="25" customFormat="1" ht="15.75" customHeight="1" thickBot="1" x14ac:dyDescent="0.25">
      <c r="A103" s="624"/>
      <c r="B103" s="625"/>
      <c r="C103" s="1908"/>
      <c r="D103" s="1400"/>
      <c r="E103" s="1396" t="s">
        <v>256</v>
      </c>
      <c r="F103" s="937">
        <f t="shared" si="89"/>
        <v>78068264</v>
      </c>
      <c r="G103" s="937">
        <f t="shared" si="89"/>
        <v>15547624</v>
      </c>
      <c r="H103" s="937">
        <f t="shared" si="89"/>
        <v>46258577</v>
      </c>
      <c r="I103" s="937">
        <f t="shared" si="89"/>
        <v>1516000</v>
      </c>
      <c r="J103" s="937">
        <f t="shared" si="89"/>
        <v>0</v>
      </c>
      <c r="K103" s="937">
        <f t="shared" si="89"/>
        <v>0</v>
      </c>
      <c r="L103" s="937">
        <f t="shared" si="89"/>
        <v>0</v>
      </c>
      <c r="M103" s="937">
        <f t="shared" si="84"/>
        <v>141390465</v>
      </c>
      <c r="N103" s="937">
        <f>N15+N55+N91</f>
        <v>1277608</v>
      </c>
      <c r="O103" s="1004"/>
      <c r="P103" s="1004"/>
      <c r="Q103" s="1004"/>
      <c r="R103" s="1397">
        <f t="shared" si="86"/>
        <v>142668073</v>
      </c>
      <c r="S103" s="2075">
        <f t="shared" si="90"/>
        <v>28.5</v>
      </c>
    </row>
    <row r="104" spans="1:19" s="25" customFormat="1" ht="15.75" customHeight="1" thickBot="1" x14ac:dyDescent="0.25">
      <c r="A104" s="624"/>
      <c r="B104" s="625"/>
      <c r="C104" s="1908"/>
      <c r="D104" s="1003"/>
      <c r="E104" s="1401" t="s">
        <v>71</v>
      </c>
      <c r="F104" s="1003"/>
      <c r="G104" s="1003"/>
      <c r="H104" s="1004"/>
      <c r="I104" s="1004"/>
      <c r="J104" s="1004"/>
      <c r="K104" s="1004"/>
      <c r="L104" s="1004"/>
      <c r="M104" s="937">
        <f t="shared" si="84"/>
        <v>0</v>
      </c>
      <c r="N104" s="1004"/>
      <c r="O104" s="1004"/>
      <c r="P104" s="1004"/>
      <c r="Q104" s="1004"/>
      <c r="R104" s="1397">
        <f t="shared" si="86"/>
        <v>0</v>
      </c>
      <c r="S104" s="2075"/>
    </row>
    <row r="105" spans="1:19" s="25" customFormat="1" ht="15.75" customHeight="1" thickBot="1" x14ac:dyDescent="0.25">
      <c r="A105" s="624"/>
      <c r="B105" s="625"/>
      <c r="C105" s="1908"/>
      <c r="D105" s="1400"/>
      <c r="E105" s="1396" t="s">
        <v>254</v>
      </c>
      <c r="F105" s="1004"/>
      <c r="G105" s="1004"/>
      <c r="H105" s="1004"/>
      <c r="I105" s="1004"/>
      <c r="J105" s="1004"/>
      <c r="K105" s="1004"/>
      <c r="L105" s="1004"/>
      <c r="M105" s="937">
        <f t="shared" si="84"/>
        <v>0</v>
      </c>
      <c r="N105" s="1004"/>
      <c r="O105" s="1004"/>
      <c r="P105" s="1004"/>
      <c r="Q105" s="1004"/>
      <c r="R105" s="1397">
        <f t="shared" si="86"/>
        <v>0</v>
      </c>
      <c r="S105" s="2074"/>
    </row>
    <row r="106" spans="1:19" s="25" customFormat="1" ht="15.75" customHeight="1" thickBot="1" x14ac:dyDescent="0.25">
      <c r="A106" s="624"/>
      <c r="B106" s="625"/>
      <c r="C106" s="1908"/>
      <c r="D106" s="1400"/>
      <c r="E106" s="1396" t="s">
        <v>255</v>
      </c>
      <c r="F106" s="1004"/>
      <c r="G106" s="1004"/>
      <c r="H106" s="1004"/>
      <c r="I106" s="1004"/>
      <c r="J106" s="1004"/>
      <c r="K106" s="1004"/>
      <c r="L106" s="1004"/>
      <c r="M106" s="937">
        <f t="shared" si="84"/>
        <v>0</v>
      </c>
      <c r="N106" s="1004"/>
      <c r="O106" s="1004"/>
      <c r="P106" s="1004"/>
      <c r="Q106" s="1004"/>
      <c r="R106" s="1397">
        <f t="shared" si="86"/>
        <v>0</v>
      </c>
      <c r="S106" s="2073"/>
    </row>
    <row r="107" spans="1:19" s="25" customFormat="1" ht="15.75" customHeight="1" thickBot="1" x14ac:dyDescent="0.25">
      <c r="A107" s="623"/>
      <c r="B107" s="623"/>
      <c r="C107" s="1908"/>
      <c r="D107" s="1003"/>
      <c r="E107" s="1396" t="s">
        <v>256</v>
      </c>
      <c r="F107" s="1004">
        <v>0</v>
      </c>
      <c r="G107" s="1004">
        <v>0</v>
      </c>
      <c r="H107" s="1004">
        <v>0</v>
      </c>
      <c r="I107" s="1004">
        <v>0</v>
      </c>
      <c r="J107" s="1004">
        <v>0</v>
      </c>
      <c r="K107" s="1004">
        <v>0</v>
      </c>
      <c r="L107" s="1004">
        <v>0</v>
      </c>
      <c r="M107" s="937">
        <f t="shared" si="84"/>
        <v>0</v>
      </c>
      <c r="N107" s="1004"/>
      <c r="O107" s="1004">
        <f>O30+O58+O95</f>
        <v>0</v>
      </c>
      <c r="P107" s="1004">
        <v>0</v>
      </c>
      <c r="Q107" s="1004">
        <v>0</v>
      </c>
      <c r="R107" s="1397">
        <f t="shared" si="86"/>
        <v>0</v>
      </c>
      <c r="S107" s="2075"/>
    </row>
    <row r="108" spans="1:19" s="25" customFormat="1" ht="15.75" customHeight="1" thickBot="1" x14ac:dyDescent="0.25">
      <c r="A108" s="623"/>
      <c r="B108" s="623"/>
      <c r="C108" s="1908"/>
      <c r="D108" s="1003"/>
      <c r="E108" s="1402" t="s">
        <v>257</v>
      </c>
      <c r="F108" s="1004"/>
      <c r="G108" s="1004"/>
      <c r="H108" s="1004"/>
      <c r="I108" s="1004"/>
      <c r="J108" s="1004"/>
      <c r="K108" s="1004"/>
      <c r="L108" s="1004"/>
      <c r="M108" s="937"/>
      <c r="N108" s="1004"/>
      <c r="O108" s="1004"/>
      <c r="P108" s="1004"/>
      <c r="Q108" s="1004"/>
      <c r="R108" s="1397"/>
      <c r="S108" s="2074"/>
    </row>
    <row r="109" spans="1:19" s="25" customFormat="1" ht="15.75" customHeight="1" thickBot="1" x14ac:dyDescent="0.25">
      <c r="A109" s="626" t="s">
        <v>254</v>
      </c>
      <c r="B109" s="627" t="s">
        <v>254</v>
      </c>
      <c r="C109" s="1908"/>
      <c r="D109" s="1396"/>
      <c r="E109" s="1396" t="s">
        <v>254</v>
      </c>
      <c r="F109" s="1004">
        <f t="shared" ref="F109:L111" si="91">F17+F57+F93</f>
        <v>14333523</v>
      </c>
      <c r="G109" s="1004">
        <f t="shared" si="91"/>
        <v>2866704.6</v>
      </c>
      <c r="H109" s="1004">
        <f t="shared" si="91"/>
        <v>3045970</v>
      </c>
      <c r="I109" s="1004">
        <f t="shared" si="91"/>
        <v>0</v>
      </c>
      <c r="J109" s="1004">
        <f t="shared" si="91"/>
        <v>0</v>
      </c>
      <c r="K109" s="1004">
        <f t="shared" si="91"/>
        <v>0</v>
      </c>
      <c r="L109" s="1004">
        <f t="shared" si="91"/>
        <v>0</v>
      </c>
      <c r="M109" s="937">
        <f t="shared" si="84"/>
        <v>20246197.600000001</v>
      </c>
      <c r="N109" s="1004">
        <f t="shared" ref="N109:Q111" si="92">N17+N57+N93</f>
        <v>1000000</v>
      </c>
      <c r="O109" s="1004">
        <f t="shared" si="92"/>
        <v>0</v>
      </c>
      <c r="P109" s="1004">
        <f t="shared" si="92"/>
        <v>0</v>
      </c>
      <c r="Q109" s="1004">
        <f t="shared" si="92"/>
        <v>0</v>
      </c>
      <c r="R109" s="1397">
        <f t="shared" si="86"/>
        <v>21246197.600000001</v>
      </c>
      <c r="S109" s="2075">
        <f>S57</f>
        <v>4.25</v>
      </c>
    </row>
    <row r="110" spans="1:19" s="25" customFormat="1" ht="15.75" customHeight="1" thickBot="1" x14ac:dyDescent="0.25">
      <c r="A110" s="626" t="s">
        <v>255</v>
      </c>
      <c r="B110" s="627" t="s">
        <v>255</v>
      </c>
      <c r="C110" s="1908"/>
      <c r="D110" s="1396"/>
      <c r="E110" s="1396" t="s">
        <v>255</v>
      </c>
      <c r="F110" s="1004">
        <f t="shared" si="91"/>
        <v>11841218</v>
      </c>
      <c r="G110" s="1004">
        <f t="shared" si="91"/>
        <v>2357166</v>
      </c>
      <c r="H110" s="1004">
        <f t="shared" si="91"/>
        <v>4852177</v>
      </c>
      <c r="I110" s="1004">
        <f t="shared" si="91"/>
        <v>0</v>
      </c>
      <c r="J110" s="1004">
        <f t="shared" si="91"/>
        <v>0</v>
      </c>
      <c r="K110" s="1004">
        <f t="shared" si="91"/>
        <v>0</v>
      </c>
      <c r="L110" s="1004">
        <f t="shared" si="91"/>
        <v>0</v>
      </c>
      <c r="M110" s="937">
        <f t="shared" si="84"/>
        <v>19050561</v>
      </c>
      <c r="N110" s="1004">
        <f t="shared" si="92"/>
        <v>1285912</v>
      </c>
      <c r="O110" s="1004">
        <f t="shared" si="92"/>
        <v>0</v>
      </c>
      <c r="P110" s="1004">
        <f t="shared" si="92"/>
        <v>0</v>
      </c>
      <c r="Q110" s="1004">
        <f t="shared" si="92"/>
        <v>0</v>
      </c>
      <c r="R110" s="1397">
        <f t="shared" si="86"/>
        <v>20336473</v>
      </c>
      <c r="S110" s="2075">
        <f t="shared" ref="S110:S111" si="93">S58</f>
        <v>5</v>
      </c>
    </row>
    <row r="111" spans="1:19" s="25" customFormat="1" ht="15.75" customHeight="1" thickBot="1" x14ac:dyDescent="0.25">
      <c r="A111" s="606" t="s">
        <v>256</v>
      </c>
      <c r="B111" s="628" t="s">
        <v>256</v>
      </c>
      <c r="C111" s="1909"/>
      <c r="D111" s="1396"/>
      <c r="E111" s="1396" t="s">
        <v>256</v>
      </c>
      <c r="F111" s="1004">
        <f t="shared" si="91"/>
        <v>11496118</v>
      </c>
      <c r="G111" s="1004">
        <f t="shared" si="91"/>
        <v>2335096</v>
      </c>
      <c r="H111" s="1004">
        <f t="shared" si="91"/>
        <v>4818908</v>
      </c>
      <c r="I111" s="1004">
        <f t="shared" si="91"/>
        <v>0</v>
      </c>
      <c r="J111" s="1004">
        <f t="shared" si="91"/>
        <v>0</v>
      </c>
      <c r="K111" s="1004">
        <f t="shared" si="91"/>
        <v>0</v>
      </c>
      <c r="L111" s="1004">
        <f t="shared" si="91"/>
        <v>0</v>
      </c>
      <c r="M111" s="937">
        <f t="shared" si="84"/>
        <v>18650122</v>
      </c>
      <c r="N111" s="1004">
        <f t="shared" si="92"/>
        <v>1285890</v>
      </c>
      <c r="O111" s="1004">
        <f t="shared" si="92"/>
        <v>0</v>
      </c>
      <c r="P111" s="1004">
        <f t="shared" si="92"/>
        <v>0</v>
      </c>
      <c r="Q111" s="1004">
        <f t="shared" si="92"/>
        <v>0</v>
      </c>
      <c r="R111" s="1397">
        <f t="shared" si="86"/>
        <v>19936012</v>
      </c>
      <c r="S111" s="2075">
        <f t="shared" si="93"/>
        <v>5</v>
      </c>
    </row>
    <row r="112" spans="1:19" s="191" customFormat="1" ht="15.75" customHeight="1" thickBot="1" x14ac:dyDescent="0.25">
      <c r="A112" s="629"/>
      <c r="B112" s="629"/>
      <c r="C112" s="1910"/>
      <c r="D112" s="1910"/>
      <c r="E112" s="1910"/>
      <c r="F112" s="1910"/>
      <c r="G112" s="1910"/>
      <c r="H112" s="1910"/>
      <c r="I112" s="1910"/>
      <c r="J112" s="1910"/>
      <c r="K112" s="1910"/>
      <c r="L112" s="1910"/>
      <c r="M112" s="1910"/>
      <c r="N112" s="1910"/>
      <c r="O112" s="1910"/>
      <c r="P112" s="1910"/>
      <c r="Q112" s="1910"/>
      <c r="R112" s="1910"/>
      <c r="S112" s="1911"/>
    </row>
    <row r="113" spans="1:77" s="25" customFormat="1" ht="15.75" customHeight="1" thickBot="1" x14ac:dyDescent="0.25">
      <c r="A113" s="579"/>
      <c r="B113" s="580"/>
      <c r="C113" s="1912" t="s">
        <v>47</v>
      </c>
      <c r="D113" s="915"/>
      <c r="E113" s="916" t="s">
        <v>216</v>
      </c>
      <c r="F113" s="917"/>
      <c r="G113" s="917"/>
      <c r="H113" s="917"/>
      <c r="I113" s="917"/>
      <c r="J113" s="917"/>
      <c r="K113" s="917"/>
      <c r="L113" s="917"/>
      <c r="M113" s="917"/>
      <c r="N113" s="917"/>
      <c r="O113" s="917"/>
      <c r="P113" s="917"/>
      <c r="Q113" s="917"/>
      <c r="R113" s="917"/>
      <c r="S113" s="918"/>
    </row>
    <row r="114" spans="1:77" s="25" customFormat="1" ht="15.75" customHeight="1" thickBot="1" x14ac:dyDescent="0.25">
      <c r="A114" s="579"/>
      <c r="B114" s="580"/>
      <c r="C114" s="1913"/>
      <c r="D114" s="915"/>
      <c r="E114" s="919" t="s">
        <v>254</v>
      </c>
      <c r="F114" s="917">
        <f>F118</f>
        <v>11969354</v>
      </c>
      <c r="G114" s="917">
        <f t="shared" ref="G114:L114" si="94">G118</f>
        <v>2633257.88</v>
      </c>
      <c r="H114" s="917">
        <f t="shared" si="94"/>
        <v>12209784</v>
      </c>
      <c r="I114" s="917">
        <f t="shared" si="94"/>
        <v>0</v>
      </c>
      <c r="J114" s="917">
        <f>J118+J122</f>
        <v>0</v>
      </c>
      <c r="K114" s="917">
        <f>K118+K122</f>
        <v>4743411</v>
      </c>
      <c r="L114" s="917">
        <f t="shared" si="94"/>
        <v>4476664</v>
      </c>
      <c r="M114" s="917">
        <f>SUM(F114:L114)</f>
        <v>36032470.879999995</v>
      </c>
      <c r="N114" s="917"/>
      <c r="O114" s="917"/>
      <c r="P114" s="917"/>
      <c r="Q114" s="917"/>
      <c r="R114" s="917">
        <f>SUM(M114:Q114)</f>
        <v>36032470.879999995</v>
      </c>
      <c r="S114" s="918">
        <v>2</v>
      </c>
    </row>
    <row r="115" spans="1:77" ht="15.75" customHeight="1" thickBot="1" x14ac:dyDescent="0.25">
      <c r="A115" s="581">
        <v>1</v>
      </c>
      <c r="B115" s="630"/>
      <c r="C115" s="1913"/>
      <c r="D115" s="920"/>
      <c r="E115" s="919" t="s">
        <v>255</v>
      </c>
      <c r="F115" s="917">
        <f t="shared" ref="F115:Q116" si="95">F119</f>
        <v>10072156</v>
      </c>
      <c r="G115" s="921">
        <f t="shared" ref="G115:L115" si="96">G119+G124</f>
        <v>2669104</v>
      </c>
      <c r="H115" s="917">
        <f t="shared" ref="H115" si="97">H119</f>
        <v>15542817</v>
      </c>
      <c r="I115" s="921">
        <f t="shared" si="96"/>
        <v>0</v>
      </c>
      <c r="J115" s="917">
        <f>J119</f>
        <v>0</v>
      </c>
      <c r="K115" s="917">
        <f t="shared" ref="K115:K116" si="98">K119+K123</f>
        <v>5129411</v>
      </c>
      <c r="L115" s="921">
        <f t="shared" si="96"/>
        <v>7316320</v>
      </c>
      <c r="M115" s="917">
        <f t="shared" ref="M115:M116" si="99">SUM(F115:L115)</f>
        <v>40729808</v>
      </c>
      <c r="N115" s="921">
        <f>N119+N124</f>
        <v>890840.23</v>
      </c>
      <c r="O115" s="921">
        <f>O131+O137+O331</f>
        <v>0</v>
      </c>
      <c r="P115" s="921">
        <f>P131+P137+P331</f>
        <v>0</v>
      </c>
      <c r="Q115" s="921">
        <f>Q131+Q137+Q331</f>
        <v>0</v>
      </c>
      <c r="R115" s="917">
        <f t="shared" ref="R115:R116" si="100">SUM(M115:Q115)</f>
        <v>41620648.229999997</v>
      </c>
      <c r="S115" s="922">
        <f>S131+S135</f>
        <v>2</v>
      </c>
    </row>
    <row r="116" spans="1:77" ht="15.75" customHeight="1" thickBot="1" x14ac:dyDescent="0.25">
      <c r="A116" s="582"/>
      <c r="B116" s="630"/>
      <c r="C116" s="1913"/>
      <c r="D116" s="920"/>
      <c r="E116" s="919" t="s">
        <v>256</v>
      </c>
      <c r="F116" s="917">
        <f t="shared" si="95"/>
        <v>8788715</v>
      </c>
      <c r="G116" s="917">
        <f t="shared" si="95"/>
        <v>1850804</v>
      </c>
      <c r="H116" s="917">
        <f t="shared" si="95"/>
        <v>14055759</v>
      </c>
      <c r="I116" s="917">
        <f t="shared" si="95"/>
        <v>0</v>
      </c>
      <c r="J116" s="917">
        <f>J120</f>
        <v>0</v>
      </c>
      <c r="K116" s="917">
        <f t="shared" si="98"/>
        <v>3300356</v>
      </c>
      <c r="L116" s="917">
        <f t="shared" si="95"/>
        <v>0</v>
      </c>
      <c r="M116" s="917">
        <f t="shared" si="99"/>
        <v>27995634</v>
      </c>
      <c r="N116" s="917">
        <f>N120</f>
        <v>890840.23</v>
      </c>
      <c r="O116" s="917">
        <f t="shared" si="95"/>
        <v>0</v>
      </c>
      <c r="P116" s="917">
        <f t="shared" si="95"/>
        <v>0</v>
      </c>
      <c r="Q116" s="917">
        <f t="shared" si="95"/>
        <v>0</v>
      </c>
      <c r="R116" s="917">
        <f t="shared" si="100"/>
        <v>28886474.23</v>
      </c>
      <c r="S116" s="922">
        <v>2</v>
      </c>
    </row>
    <row r="117" spans="1:77" ht="15.75" customHeight="1" thickBot="1" x14ac:dyDescent="0.25">
      <c r="A117" s="582"/>
      <c r="B117" s="630"/>
      <c r="C117" s="1913"/>
      <c r="D117" s="920"/>
      <c r="E117" s="923" t="s">
        <v>65</v>
      </c>
      <c r="F117" s="921"/>
      <c r="G117" s="921"/>
      <c r="H117" s="921"/>
      <c r="I117" s="921"/>
      <c r="J117" s="921"/>
      <c r="K117" s="921"/>
      <c r="L117" s="921"/>
      <c r="M117" s="921"/>
      <c r="N117" s="921"/>
      <c r="O117" s="921"/>
      <c r="P117" s="921"/>
      <c r="Q117" s="921"/>
      <c r="R117" s="924"/>
      <c r="S117" s="922"/>
    </row>
    <row r="118" spans="1:77" ht="15.75" customHeight="1" thickBot="1" x14ac:dyDescent="0.25">
      <c r="A118" s="582"/>
      <c r="B118" s="630"/>
      <c r="C118" s="1913"/>
      <c r="D118" s="920"/>
      <c r="E118" s="919" t="s">
        <v>254</v>
      </c>
      <c r="F118" s="921">
        <f>F130</f>
        <v>11969354</v>
      </c>
      <c r="G118" s="921">
        <f t="shared" ref="G118:Q118" si="101">G130</f>
        <v>2633257.88</v>
      </c>
      <c r="H118" s="921">
        <f>H130+H142+H162</f>
        <v>12209784</v>
      </c>
      <c r="I118" s="921">
        <v>0</v>
      </c>
      <c r="J118" s="921">
        <f>J142+J130</f>
        <v>0</v>
      </c>
      <c r="K118" s="921">
        <f>K142+K162+K130</f>
        <v>4743411</v>
      </c>
      <c r="L118" s="921">
        <f>L138</f>
        <v>4476664</v>
      </c>
      <c r="M118" s="921">
        <f>SUM(F118:L118)</f>
        <v>36032470.879999995</v>
      </c>
      <c r="N118" s="921">
        <f t="shared" si="101"/>
        <v>0</v>
      </c>
      <c r="O118" s="921">
        <f t="shared" si="101"/>
        <v>0</v>
      </c>
      <c r="P118" s="921">
        <f t="shared" si="101"/>
        <v>0</v>
      </c>
      <c r="Q118" s="921">
        <f t="shared" si="101"/>
        <v>0</v>
      </c>
      <c r="R118" s="921">
        <f>SUM(M118:Q118)</f>
        <v>36032470.879999995</v>
      </c>
      <c r="S118" s="922">
        <v>2</v>
      </c>
    </row>
    <row r="119" spans="1:77" ht="15.75" customHeight="1" thickBot="1" x14ac:dyDescent="0.25">
      <c r="A119" s="582"/>
      <c r="B119" s="630"/>
      <c r="C119" s="1913"/>
      <c r="D119" s="920"/>
      <c r="E119" s="919" t="s">
        <v>255</v>
      </c>
      <c r="F119" s="921">
        <f>F131</f>
        <v>10072156</v>
      </c>
      <c r="G119" s="921">
        <f t="shared" ref="G119:Q119" si="102">G131</f>
        <v>2669104</v>
      </c>
      <c r="H119" s="921">
        <f>H131+H143+H163</f>
        <v>15542817</v>
      </c>
      <c r="I119" s="921">
        <f t="shared" ref="I119:I120" si="103">J143</f>
        <v>0</v>
      </c>
      <c r="J119" s="921">
        <f>J143+J131</f>
        <v>0</v>
      </c>
      <c r="K119" s="921">
        <f>K143+K163+K131</f>
        <v>5129411</v>
      </c>
      <c r="L119" s="921">
        <f>L139</f>
        <v>7316320</v>
      </c>
      <c r="M119" s="921">
        <f t="shared" ref="M119:M120" si="104">SUM(F119:L119)</f>
        <v>40729808</v>
      </c>
      <c r="N119" s="921">
        <f t="shared" si="102"/>
        <v>890840.23</v>
      </c>
      <c r="O119" s="921">
        <f t="shared" si="102"/>
        <v>0</v>
      </c>
      <c r="P119" s="921">
        <f t="shared" si="102"/>
        <v>0</v>
      </c>
      <c r="Q119" s="921">
        <f t="shared" si="102"/>
        <v>0</v>
      </c>
      <c r="R119" s="921">
        <f>SUM(M119:Q119)</f>
        <v>41620648.229999997</v>
      </c>
      <c r="S119" s="922">
        <v>2</v>
      </c>
    </row>
    <row r="120" spans="1:77" ht="15.75" customHeight="1" thickBot="1" x14ac:dyDescent="0.25">
      <c r="A120" s="631"/>
      <c r="B120" s="632"/>
      <c r="C120" s="1913"/>
      <c r="D120" s="920"/>
      <c r="E120" s="919" t="s">
        <v>256</v>
      </c>
      <c r="F120" s="921">
        <f>F132</f>
        <v>8788715</v>
      </c>
      <c r="G120" s="921">
        <f t="shared" ref="G120:Q120" si="105">G132</f>
        <v>1850804</v>
      </c>
      <c r="H120" s="921">
        <f>H132+H144+H164</f>
        <v>14055759</v>
      </c>
      <c r="I120" s="921">
        <f t="shared" si="103"/>
        <v>0</v>
      </c>
      <c r="J120" s="921">
        <f t="shared" ref="J120" si="106">J144+J132</f>
        <v>0</v>
      </c>
      <c r="K120" s="921">
        <f>K144+K164+K132</f>
        <v>3300356</v>
      </c>
      <c r="L120" s="921">
        <f t="shared" si="105"/>
        <v>0</v>
      </c>
      <c r="M120" s="921">
        <f t="shared" si="104"/>
        <v>27995634</v>
      </c>
      <c r="N120" s="921">
        <f t="shared" si="105"/>
        <v>890840.23</v>
      </c>
      <c r="O120" s="921">
        <f t="shared" si="105"/>
        <v>0</v>
      </c>
      <c r="P120" s="921">
        <f t="shared" si="105"/>
        <v>0</v>
      </c>
      <c r="Q120" s="921">
        <f t="shared" si="105"/>
        <v>0</v>
      </c>
      <c r="R120" s="921">
        <f>SUM(M120:Q120)</f>
        <v>28886474.23</v>
      </c>
      <c r="S120" s="922">
        <v>2</v>
      </c>
    </row>
    <row r="121" spans="1:77" ht="15.75" customHeight="1" thickBot="1" x14ac:dyDescent="0.25">
      <c r="A121" s="631"/>
      <c r="B121" s="632"/>
      <c r="C121" s="1913"/>
      <c r="D121" s="920"/>
      <c r="E121" s="923" t="s">
        <v>66</v>
      </c>
      <c r="F121" s="921"/>
      <c r="G121" s="921"/>
      <c r="H121" s="921"/>
      <c r="I121" s="921"/>
      <c r="J121" s="921"/>
      <c r="K121" s="921"/>
      <c r="L121" s="921"/>
      <c r="M121" s="921"/>
      <c r="N121" s="921"/>
      <c r="O121" s="921"/>
      <c r="P121" s="921"/>
      <c r="Q121" s="921"/>
      <c r="R121" s="924"/>
      <c r="S121" s="922"/>
    </row>
    <row r="122" spans="1:77" ht="15.75" customHeight="1" thickBot="1" x14ac:dyDescent="0.25">
      <c r="A122" s="631"/>
      <c r="B122" s="632"/>
      <c r="C122" s="1913"/>
      <c r="D122" s="920"/>
      <c r="E122" s="919" t="s">
        <v>254</v>
      </c>
      <c r="F122" s="921"/>
      <c r="G122" s="921"/>
      <c r="H122" s="921"/>
      <c r="I122" s="921"/>
      <c r="J122" s="921"/>
      <c r="K122" s="921"/>
      <c r="L122" s="921"/>
      <c r="M122" s="921"/>
      <c r="N122" s="921"/>
      <c r="O122" s="921"/>
      <c r="P122" s="921"/>
      <c r="Q122" s="921"/>
      <c r="R122" s="924"/>
      <c r="S122" s="922"/>
    </row>
    <row r="123" spans="1:77" ht="15.75" customHeight="1" thickBot="1" x14ac:dyDescent="0.25">
      <c r="A123" s="631"/>
      <c r="B123" s="632"/>
      <c r="C123" s="1913"/>
      <c r="D123" s="920"/>
      <c r="E123" s="919" t="s">
        <v>255</v>
      </c>
      <c r="F123" s="921"/>
      <c r="G123" s="921"/>
      <c r="H123" s="921"/>
      <c r="I123" s="921"/>
      <c r="J123" s="921"/>
      <c r="K123" s="921"/>
      <c r="L123" s="921"/>
      <c r="M123" s="921"/>
      <c r="N123" s="921"/>
      <c r="O123" s="921"/>
      <c r="P123" s="921"/>
      <c r="Q123" s="921"/>
      <c r="R123" s="924"/>
      <c r="S123" s="922"/>
    </row>
    <row r="124" spans="1:77" ht="15.75" customHeight="1" thickBot="1" x14ac:dyDescent="0.25">
      <c r="A124" s="583"/>
      <c r="B124" s="633"/>
      <c r="C124" s="1913"/>
      <c r="D124" s="920"/>
      <c r="E124" s="919" t="s">
        <v>256</v>
      </c>
      <c r="F124" s="921"/>
      <c r="G124" s="921"/>
      <c r="H124" s="921"/>
      <c r="I124" s="921"/>
      <c r="J124" s="921"/>
      <c r="K124" s="921"/>
      <c r="L124" s="921"/>
      <c r="M124" s="921">
        <f t="shared" ref="M124:M135" si="107">SUM(F124:L124)</f>
        <v>0</v>
      </c>
      <c r="N124" s="921"/>
      <c r="O124" s="921"/>
      <c r="P124" s="921"/>
      <c r="Q124" s="921"/>
      <c r="R124" s="924"/>
      <c r="S124" s="922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</row>
    <row r="125" spans="1:77" s="94" customFormat="1" ht="15.75" customHeight="1" x14ac:dyDescent="0.15">
      <c r="A125" s="584"/>
      <c r="B125" s="634">
        <v>1</v>
      </c>
      <c r="C125" s="1902" t="s">
        <v>262</v>
      </c>
      <c r="D125" s="925"/>
      <c r="E125" s="926" t="s">
        <v>239</v>
      </c>
      <c r="F125" s="591"/>
      <c r="G125" s="591"/>
      <c r="H125" s="591"/>
      <c r="I125" s="591"/>
      <c r="J125" s="591"/>
      <c r="K125" s="591"/>
      <c r="L125" s="591"/>
      <c r="M125" s="591"/>
      <c r="N125" s="591"/>
      <c r="O125" s="591"/>
      <c r="P125" s="591"/>
      <c r="Q125" s="591"/>
      <c r="R125" s="592"/>
      <c r="S125" s="564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</row>
    <row r="126" spans="1:77" s="68" customFormat="1" ht="15.75" customHeight="1" x14ac:dyDescent="0.2">
      <c r="A126" s="585"/>
      <c r="B126" s="586"/>
      <c r="C126" s="1902"/>
      <c r="D126" s="925"/>
      <c r="E126" s="185" t="s">
        <v>254</v>
      </c>
      <c r="F126" s="591">
        <f t="shared" ref="F126:G128" si="108">F130+F133+F137+F142+F146+F150+F158+F162</f>
        <v>11969354</v>
      </c>
      <c r="G126" s="591">
        <f t="shared" si="108"/>
        <v>2633257.88</v>
      </c>
      <c r="H126" s="591">
        <v>10013540</v>
      </c>
      <c r="I126" s="591">
        <f>I130+I133+I137+I142+I146+I150+I158+I162</f>
        <v>0</v>
      </c>
      <c r="J126" s="591"/>
      <c r="K126" s="591"/>
      <c r="L126" s="591"/>
      <c r="M126" s="591">
        <f>SUM(F126:L126)</f>
        <v>24616151.879999999</v>
      </c>
      <c r="N126" s="591">
        <f t="shared" ref="N126:Q128" si="109">N130+N133+N137+N142+N146+N150+N158+N162</f>
        <v>0</v>
      </c>
      <c r="O126" s="591">
        <f t="shared" si="109"/>
        <v>0</v>
      </c>
      <c r="P126" s="591">
        <f t="shared" si="109"/>
        <v>0</v>
      </c>
      <c r="Q126" s="591">
        <f t="shared" si="109"/>
        <v>0</v>
      </c>
      <c r="R126" s="592">
        <f>SUM(M126:Q126)</f>
        <v>24616151.879999999</v>
      </c>
      <c r="S126" s="564">
        <f>S130</f>
        <v>2</v>
      </c>
    </row>
    <row r="127" spans="1:77" s="68" customFormat="1" ht="15.75" customHeight="1" x14ac:dyDescent="0.2">
      <c r="A127" s="585"/>
      <c r="B127" s="586"/>
      <c r="C127" s="1902"/>
      <c r="D127" s="925"/>
      <c r="E127" s="185" t="s">
        <v>255</v>
      </c>
      <c r="F127" s="591">
        <f t="shared" si="108"/>
        <v>10072156</v>
      </c>
      <c r="G127" s="591">
        <f t="shared" si="108"/>
        <v>2669104</v>
      </c>
      <c r="H127" s="591">
        <f>H131+H134+H138+H143+H147</f>
        <v>15542817</v>
      </c>
      <c r="I127" s="591">
        <f>I131+I134+I138+I143+I147+I151+I159+I163</f>
        <v>0</v>
      </c>
      <c r="J127" s="591"/>
      <c r="K127" s="591"/>
      <c r="L127" s="591"/>
      <c r="M127" s="591">
        <f t="shared" ref="M127:M128" si="110">SUM(F127:L127)</f>
        <v>28284077</v>
      </c>
      <c r="N127" s="591">
        <f t="shared" si="109"/>
        <v>890840.23</v>
      </c>
      <c r="O127" s="591">
        <f t="shared" si="109"/>
        <v>0</v>
      </c>
      <c r="P127" s="591">
        <f t="shared" si="109"/>
        <v>0</v>
      </c>
      <c r="Q127" s="591">
        <f t="shared" si="109"/>
        <v>0</v>
      </c>
      <c r="R127" s="592">
        <f t="shared" ref="R127:R132" si="111">SUM(M127:Q127)</f>
        <v>29174917.23</v>
      </c>
      <c r="S127" s="564">
        <f t="shared" ref="S127:S128" si="112">S131</f>
        <v>2</v>
      </c>
    </row>
    <row r="128" spans="1:77" s="68" customFormat="1" ht="15.75" customHeight="1" x14ac:dyDescent="0.2">
      <c r="A128" s="585"/>
      <c r="B128" s="586"/>
      <c r="C128" s="1902"/>
      <c r="D128" s="925"/>
      <c r="E128" s="185" t="s">
        <v>256</v>
      </c>
      <c r="F128" s="891">
        <f t="shared" si="108"/>
        <v>8788715</v>
      </c>
      <c r="G128" s="591">
        <f t="shared" si="108"/>
        <v>1850804</v>
      </c>
      <c r="H128" s="591">
        <f t="shared" ref="H128" si="113">H132+H135+H139+H144+H148</f>
        <v>14055759</v>
      </c>
      <c r="I128" s="591">
        <f>I132+I135+I139+I144+I148+I152+I160+I164</f>
        <v>0</v>
      </c>
      <c r="J128" s="591"/>
      <c r="K128" s="591"/>
      <c r="L128" s="591"/>
      <c r="M128" s="591">
        <f t="shared" si="110"/>
        <v>24695278</v>
      </c>
      <c r="N128" s="591">
        <f t="shared" si="109"/>
        <v>890840.23</v>
      </c>
      <c r="O128" s="591">
        <f t="shared" si="109"/>
        <v>0</v>
      </c>
      <c r="P128" s="591">
        <f t="shared" si="109"/>
        <v>0</v>
      </c>
      <c r="Q128" s="591">
        <f t="shared" si="109"/>
        <v>0</v>
      </c>
      <c r="R128" s="592">
        <f t="shared" si="111"/>
        <v>25586118.23</v>
      </c>
      <c r="S128" s="564">
        <f t="shared" si="112"/>
        <v>2</v>
      </c>
    </row>
    <row r="129" spans="1:19" s="68" customFormat="1" ht="15.75" customHeight="1" x14ac:dyDescent="0.2">
      <c r="A129" s="585"/>
      <c r="B129" s="586"/>
      <c r="C129" s="1902"/>
      <c r="D129" s="927" t="s">
        <v>54</v>
      </c>
      <c r="E129" s="931" t="s">
        <v>65</v>
      </c>
      <c r="F129" s="888"/>
      <c r="G129" s="591"/>
      <c r="H129" s="591"/>
      <c r="I129" s="591"/>
      <c r="J129" s="591"/>
      <c r="K129" s="591"/>
      <c r="L129" s="591"/>
      <c r="M129" s="591"/>
      <c r="N129" s="888"/>
      <c r="O129" s="591"/>
      <c r="P129" s="591"/>
      <c r="Q129" s="591"/>
      <c r="R129" s="592"/>
      <c r="S129" s="564"/>
    </row>
    <row r="130" spans="1:19" s="68" customFormat="1" ht="15.75" customHeight="1" x14ac:dyDescent="0.2">
      <c r="A130" s="585"/>
      <c r="B130" s="586"/>
      <c r="C130" s="1902"/>
      <c r="D130" s="925"/>
      <c r="E130" s="902" t="s">
        <v>254</v>
      </c>
      <c r="F130" s="587">
        <f>12626910+149009-1000000+246840-53405</f>
        <v>11969354</v>
      </c>
      <c r="G130" s="587">
        <f>F130*22%</f>
        <v>2633257.88</v>
      </c>
      <c r="H130" s="588">
        <f>5571000+182000+24000+4500000+2000000-2000000-162489-400000-971+300000</f>
        <v>10013540</v>
      </c>
      <c r="I130" s="591"/>
      <c r="J130" s="591"/>
      <c r="K130" s="591">
        <v>0</v>
      </c>
      <c r="L130" s="591"/>
      <c r="M130" s="591">
        <f>SUM(F130:L130)</f>
        <v>24616151.879999999</v>
      </c>
      <c r="N130" s="888">
        <f>'6 beruházások'!D10</f>
        <v>0</v>
      </c>
      <c r="O130" s="591"/>
      <c r="P130" s="591"/>
      <c r="Q130" s="591"/>
      <c r="R130" s="592">
        <f t="shared" si="111"/>
        <v>24616151.879999999</v>
      </c>
      <c r="S130" s="564">
        <v>2</v>
      </c>
    </row>
    <row r="131" spans="1:19" ht="15.75" customHeight="1" x14ac:dyDescent="0.2">
      <c r="A131" s="585"/>
      <c r="B131" s="586"/>
      <c r="C131" s="1902"/>
      <c r="D131" s="928"/>
      <c r="E131" s="1027" t="s">
        <v>255</v>
      </c>
      <c r="F131" s="588">
        <f>11969354-1829629-67569</f>
        <v>10072156</v>
      </c>
      <c r="G131" s="588">
        <f>1914444+759553-4893</f>
        <v>2669104</v>
      </c>
      <c r="H131" s="588">
        <v>15538559</v>
      </c>
      <c r="I131" s="588"/>
      <c r="J131" s="590">
        <v>0</v>
      </c>
      <c r="K131" s="590">
        <v>0</v>
      </c>
      <c r="L131" s="590"/>
      <c r="M131" s="591">
        <f t="shared" ref="M131:M132" si="114">SUM(F131:L131)</f>
        <v>28279819</v>
      </c>
      <c r="N131" s="886">
        <f>'6 beruházások'!E10</f>
        <v>890840.23</v>
      </c>
      <c r="O131" s="590"/>
      <c r="P131" s="590"/>
      <c r="Q131" s="590"/>
      <c r="R131" s="592">
        <f t="shared" si="111"/>
        <v>29170659.23</v>
      </c>
      <c r="S131" s="564">
        <v>2</v>
      </c>
    </row>
    <row r="132" spans="1:19" ht="15.75" customHeight="1" x14ac:dyDescent="0.2">
      <c r="A132" s="585"/>
      <c r="B132" s="586"/>
      <c r="C132" s="1902"/>
      <c r="D132" s="929"/>
      <c r="E132" s="902" t="s">
        <v>256</v>
      </c>
      <c r="F132" s="588">
        <f>9115075-612074+285714</f>
        <v>8788715</v>
      </c>
      <c r="G132" s="588">
        <f>1914444-119354+55714</f>
        <v>1850804</v>
      </c>
      <c r="H132" s="588">
        <f>16538559-H152-2454213+1165174-409881-783880</f>
        <v>14051501</v>
      </c>
      <c r="I132" s="588"/>
      <c r="J132" s="590">
        <v>0</v>
      </c>
      <c r="K132" s="590">
        <v>0</v>
      </c>
      <c r="L132" s="590"/>
      <c r="M132" s="591">
        <f t="shared" si="114"/>
        <v>24691020</v>
      </c>
      <c r="N132" s="886">
        <f>'6 beruházások'!F10</f>
        <v>890840.23</v>
      </c>
      <c r="O132" s="590"/>
      <c r="P132" s="590"/>
      <c r="Q132" s="590"/>
      <c r="R132" s="592">
        <f t="shared" si="111"/>
        <v>25581860.23</v>
      </c>
      <c r="S132" s="564">
        <v>2</v>
      </c>
    </row>
    <row r="133" spans="1:19" ht="15.75" customHeight="1" x14ac:dyDescent="0.2">
      <c r="A133" s="585"/>
      <c r="B133" s="586"/>
      <c r="C133" s="1902"/>
      <c r="D133" s="930" t="s">
        <v>55</v>
      </c>
      <c r="E133" s="931" t="s">
        <v>66</v>
      </c>
      <c r="F133" s="588"/>
      <c r="G133" s="588"/>
      <c r="H133" s="588"/>
      <c r="I133" s="588"/>
      <c r="J133" s="590"/>
      <c r="K133" s="590"/>
      <c r="L133" s="590"/>
      <c r="M133" s="591"/>
      <c r="N133" s="886"/>
      <c r="O133" s="590"/>
      <c r="P133" s="590"/>
      <c r="Q133" s="590"/>
      <c r="R133" s="592"/>
      <c r="S133" s="564"/>
    </row>
    <row r="134" spans="1:19" ht="15.75" customHeight="1" x14ac:dyDescent="0.2">
      <c r="A134" s="585"/>
      <c r="B134" s="586"/>
      <c r="C134" s="1902"/>
      <c r="D134" s="929"/>
      <c r="E134" s="1027" t="s">
        <v>254</v>
      </c>
      <c r="F134" s="588"/>
      <c r="G134" s="588"/>
      <c r="H134" s="588"/>
      <c r="I134" s="588"/>
      <c r="J134" s="590"/>
      <c r="K134" s="590"/>
      <c r="L134" s="590"/>
      <c r="M134" s="591"/>
      <c r="N134" s="886"/>
      <c r="O134" s="590"/>
      <c r="P134" s="590"/>
      <c r="Q134" s="590"/>
      <c r="R134" s="592"/>
      <c r="S134" s="564"/>
    </row>
    <row r="135" spans="1:19" ht="15.75" customHeight="1" x14ac:dyDescent="0.2">
      <c r="A135" s="584"/>
      <c r="B135" s="584"/>
      <c r="C135" s="1902"/>
      <c r="D135" s="928"/>
      <c r="E135" s="902" t="s">
        <v>255</v>
      </c>
      <c r="F135" s="739">
        <v>0</v>
      </c>
      <c r="G135" s="739">
        <v>0</v>
      </c>
      <c r="H135" s="739"/>
      <c r="I135" s="739"/>
      <c r="J135" s="886"/>
      <c r="K135" s="886"/>
      <c r="L135" s="886"/>
      <c r="M135" s="888">
        <f t="shared" si="107"/>
        <v>0</v>
      </c>
      <c r="N135" s="887"/>
      <c r="O135" s="886"/>
      <c r="P135" s="886"/>
      <c r="Q135" s="886"/>
      <c r="R135" s="889">
        <f t="shared" ref="R135" si="115">SUM(M135:Q135)</f>
        <v>0</v>
      </c>
      <c r="S135" s="885">
        <v>0</v>
      </c>
    </row>
    <row r="136" spans="1:19" ht="15.75" customHeight="1" x14ac:dyDescent="0.2">
      <c r="A136" s="584"/>
      <c r="B136" s="584"/>
      <c r="C136" s="1903"/>
      <c r="D136" s="930"/>
      <c r="E136" s="1027" t="s">
        <v>256</v>
      </c>
      <c r="F136" s="739"/>
      <c r="G136" s="739"/>
      <c r="H136" s="739"/>
      <c r="I136" s="739"/>
      <c r="J136" s="886"/>
      <c r="K136" s="886"/>
      <c r="L136" s="886"/>
      <c r="M136" s="888"/>
      <c r="N136" s="887"/>
      <c r="O136" s="886"/>
      <c r="P136" s="886"/>
      <c r="Q136" s="886"/>
      <c r="R136" s="889"/>
      <c r="S136" s="885"/>
    </row>
    <row r="137" spans="1:19" ht="15.75" customHeight="1" x14ac:dyDescent="0.2">
      <c r="A137" s="584"/>
      <c r="B137" s="589">
        <v>3</v>
      </c>
      <c r="C137" s="1899" t="s">
        <v>263</v>
      </c>
      <c r="D137" s="900" t="s">
        <v>54</v>
      </c>
      <c r="E137" s="901" t="s">
        <v>676</v>
      </c>
      <c r="F137" s="886">
        <v>0</v>
      </c>
      <c r="G137" s="886"/>
      <c r="H137" s="887"/>
      <c r="I137" s="887"/>
      <c r="J137" s="886"/>
      <c r="K137" s="886"/>
      <c r="L137" s="886"/>
      <c r="M137" s="888">
        <f>SUM(F137:L137)</f>
        <v>0</v>
      </c>
      <c r="N137" s="886"/>
      <c r="O137" s="886"/>
      <c r="P137" s="886"/>
      <c r="Q137" s="886"/>
      <c r="R137" s="889">
        <f>SUM(M137:Q137)</f>
        <v>0</v>
      </c>
      <c r="S137" s="885"/>
    </row>
    <row r="138" spans="1:19" ht="15.75" customHeight="1" x14ac:dyDescent="0.2">
      <c r="A138" s="584"/>
      <c r="B138" s="589"/>
      <c r="C138" s="1900"/>
      <c r="D138" s="883"/>
      <c r="E138" s="185" t="s">
        <v>254</v>
      </c>
      <c r="F138" s="878"/>
      <c r="G138" s="878"/>
      <c r="H138" s="879"/>
      <c r="I138" s="879"/>
      <c r="J138" s="878"/>
      <c r="K138" s="878"/>
      <c r="L138" s="886">
        <f>500000+3976664</f>
        <v>4476664</v>
      </c>
      <c r="M138" s="888"/>
      <c r="N138" s="886"/>
      <c r="O138" s="878"/>
      <c r="P138" s="878"/>
      <c r="Q138" s="878"/>
      <c r="R138" s="889"/>
      <c r="S138" s="880"/>
    </row>
    <row r="139" spans="1:19" ht="15.75" customHeight="1" x14ac:dyDescent="0.2">
      <c r="A139" s="584"/>
      <c r="B139" s="589"/>
      <c r="C139" s="1900"/>
      <c r="D139" s="883"/>
      <c r="E139" s="1027" t="s">
        <v>255</v>
      </c>
      <c r="F139" s="878"/>
      <c r="G139" s="878"/>
      <c r="H139" s="879"/>
      <c r="I139" s="879"/>
      <c r="J139" s="878"/>
      <c r="K139" s="878"/>
      <c r="L139" s="878">
        <v>7316320</v>
      </c>
      <c r="M139" s="888"/>
      <c r="N139" s="878"/>
      <c r="O139" s="878"/>
      <c r="P139" s="878"/>
      <c r="Q139" s="878"/>
      <c r="R139" s="889"/>
      <c r="S139" s="880"/>
    </row>
    <row r="140" spans="1:19" ht="15.75" customHeight="1" x14ac:dyDescent="0.2">
      <c r="A140" s="584"/>
      <c r="B140" s="589"/>
      <c r="C140" s="1901"/>
      <c r="D140" s="883"/>
      <c r="E140" s="902" t="s">
        <v>256</v>
      </c>
      <c r="F140" s="878"/>
      <c r="G140" s="878"/>
      <c r="H140" s="879"/>
      <c r="I140" s="879"/>
      <c r="J140" s="878"/>
      <c r="K140" s="878"/>
      <c r="L140" s="878">
        <v>0</v>
      </c>
      <c r="M140" s="888"/>
      <c r="N140" s="878"/>
      <c r="O140" s="878"/>
      <c r="P140" s="878"/>
      <c r="Q140" s="878"/>
      <c r="R140" s="889"/>
      <c r="S140" s="880"/>
    </row>
    <row r="141" spans="1:19" ht="15.75" customHeight="1" x14ac:dyDescent="0.2">
      <c r="A141" s="584"/>
      <c r="B141" s="589">
        <v>4</v>
      </c>
      <c r="C141" s="1899" t="s">
        <v>264</v>
      </c>
      <c r="D141" s="883" t="s">
        <v>54</v>
      </c>
      <c r="E141" s="932" t="s">
        <v>210</v>
      </c>
      <c r="F141" s="878"/>
      <c r="G141" s="878"/>
      <c r="H141" s="878"/>
      <c r="I141" s="878"/>
      <c r="J141" s="878"/>
      <c r="K141" s="878"/>
      <c r="L141" s="878"/>
      <c r="M141" s="888">
        <f t="shared" ref="M141:M152" si="116">SUM(F141:L141)</f>
        <v>0</v>
      </c>
      <c r="N141" s="878"/>
      <c r="O141" s="878"/>
      <c r="P141" s="878"/>
      <c r="Q141" s="878"/>
      <c r="R141" s="889">
        <f t="shared" ref="R141:R152" si="117">SUM(M141:Q141)</f>
        <v>0</v>
      </c>
      <c r="S141" s="880"/>
    </row>
    <row r="142" spans="1:19" ht="15.75" customHeight="1" x14ac:dyDescent="0.2">
      <c r="A142" s="584"/>
      <c r="B142" s="589"/>
      <c r="C142" s="1900"/>
      <c r="D142" s="883"/>
      <c r="E142" s="1027" t="s">
        <v>254</v>
      </c>
      <c r="F142" s="878">
        <f>F146+F150+F158</f>
        <v>0</v>
      </c>
      <c r="G142" s="878">
        <f t="shared" ref="G142:Q142" si="118">G146+G150+G158</f>
        <v>0</v>
      </c>
      <c r="H142" s="878">
        <f t="shared" si="118"/>
        <v>2196244</v>
      </c>
      <c r="I142" s="878">
        <f t="shared" si="118"/>
        <v>0</v>
      </c>
      <c r="J142" s="878"/>
      <c r="K142" s="878">
        <f>K146+K150+K158+K154</f>
        <v>1743411</v>
      </c>
      <c r="L142" s="878">
        <f>L146+L150+L158</f>
        <v>0</v>
      </c>
      <c r="M142" s="878">
        <f>SUM(F142:L142)</f>
        <v>3939655</v>
      </c>
      <c r="N142" s="878">
        <f t="shared" si="118"/>
        <v>0</v>
      </c>
      <c r="O142" s="878">
        <f t="shared" si="118"/>
        <v>0</v>
      </c>
      <c r="P142" s="878">
        <f t="shared" si="118"/>
        <v>0</v>
      </c>
      <c r="Q142" s="878">
        <f t="shared" si="118"/>
        <v>0</v>
      </c>
      <c r="R142" s="889">
        <f>SUM(L142:Q142)</f>
        <v>3939655</v>
      </c>
      <c r="S142" s="880"/>
    </row>
    <row r="143" spans="1:19" ht="15.75" customHeight="1" x14ac:dyDescent="0.2">
      <c r="A143" s="584"/>
      <c r="B143" s="589"/>
      <c r="C143" s="1900"/>
      <c r="D143" s="883"/>
      <c r="E143" s="902" t="s">
        <v>255</v>
      </c>
      <c r="F143" s="878">
        <f>F147+F151+F159</f>
        <v>0</v>
      </c>
      <c r="G143" s="878">
        <f t="shared" ref="G143:J144" si="119">G147+G151+G159</f>
        <v>0</v>
      </c>
      <c r="H143" s="878">
        <f t="shared" si="119"/>
        <v>4258</v>
      </c>
      <c r="I143" s="878">
        <f t="shared" si="119"/>
        <v>0</v>
      </c>
      <c r="J143" s="878">
        <f t="shared" si="119"/>
        <v>0</v>
      </c>
      <c r="K143" s="878">
        <f t="shared" ref="K143" si="120">K147+K151+K159+K155</f>
        <v>2129411</v>
      </c>
      <c r="L143" s="878"/>
      <c r="M143" s="878">
        <f t="shared" ref="M143:M144" si="121">SUM(F143:L143)</f>
        <v>2133669</v>
      </c>
      <c r="N143" s="878">
        <f t="shared" ref="N143:Q144" si="122">N147+N151+N159</f>
        <v>0</v>
      </c>
      <c r="O143" s="878">
        <f t="shared" si="122"/>
        <v>0</v>
      </c>
      <c r="P143" s="878">
        <f t="shared" si="122"/>
        <v>0</v>
      </c>
      <c r="Q143" s="878">
        <f t="shared" si="122"/>
        <v>0</v>
      </c>
      <c r="R143" s="889">
        <f t="shared" ref="R143:R144" si="123">SUM(L143:Q143)</f>
        <v>2133669</v>
      </c>
      <c r="S143" s="880"/>
    </row>
    <row r="144" spans="1:19" ht="15.75" customHeight="1" x14ac:dyDescent="0.2">
      <c r="A144" s="584"/>
      <c r="B144" s="589"/>
      <c r="C144" s="1901"/>
      <c r="D144" s="883"/>
      <c r="E144" s="1027" t="s">
        <v>256</v>
      </c>
      <c r="F144" s="878">
        <f>F148+F152+F160</f>
        <v>0</v>
      </c>
      <c r="G144" s="878">
        <f t="shared" si="119"/>
        <v>0</v>
      </c>
      <c r="H144" s="878">
        <f t="shared" si="119"/>
        <v>4258</v>
      </c>
      <c r="I144" s="878">
        <f t="shared" si="119"/>
        <v>0</v>
      </c>
      <c r="J144" s="878">
        <f t="shared" si="119"/>
        <v>0</v>
      </c>
      <c r="K144" s="878">
        <f>K148+K152+K160+K156</f>
        <v>2129070</v>
      </c>
      <c r="L144" s="878"/>
      <c r="M144" s="878">
        <f t="shared" si="121"/>
        <v>2133328</v>
      </c>
      <c r="N144" s="878">
        <f t="shared" si="122"/>
        <v>0</v>
      </c>
      <c r="O144" s="878">
        <f t="shared" si="122"/>
        <v>0</v>
      </c>
      <c r="P144" s="878">
        <f t="shared" si="122"/>
        <v>0</v>
      </c>
      <c r="Q144" s="878">
        <f t="shared" si="122"/>
        <v>0</v>
      </c>
      <c r="R144" s="889">
        <f t="shared" si="123"/>
        <v>2133328</v>
      </c>
      <c r="S144" s="880"/>
    </row>
    <row r="145" spans="1:19" ht="15.75" customHeight="1" x14ac:dyDescent="0.2">
      <c r="A145" s="584"/>
      <c r="B145" s="589"/>
      <c r="C145" s="1899" t="s">
        <v>268</v>
      </c>
      <c r="D145" s="883"/>
      <c r="E145" s="905" t="s">
        <v>660</v>
      </c>
      <c r="F145" s="878"/>
      <c r="G145" s="878"/>
      <c r="H145" s="879"/>
      <c r="I145" s="887"/>
      <c r="J145" s="906"/>
      <c r="K145" s="896"/>
      <c r="L145" s="907"/>
      <c r="M145" s="908">
        <f t="shared" si="116"/>
        <v>0</v>
      </c>
      <c r="N145" s="878"/>
      <c r="O145" s="878"/>
      <c r="P145" s="878"/>
      <c r="Q145" s="878"/>
      <c r="R145" s="889">
        <f t="shared" si="117"/>
        <v>0</v>
      </c>
      <c r="S145" s="880"/>
    </row>
    <row r="146" spans="1:19" ht="15.75" customHeight="1" x14ac:dyDescent="0.2">
      <c r="A146" s="584"/>
      <c r="B146" s="589"/>
      <c r="C146" s="1900"/>
      <c r="D146" s="883"/>
      <c r="E146" s="1027" t="s">
        <v>254</v>
      </c>
      <c r="F146" s="878"/>
      <c r="G146" s="878"/>
      <c r="H146" s="879"/>
      <c r="I146" s="879"/>
      <c r="J146" s="886">
        <v>0</v>
      </c>
      <c r="K146" s="886">
        <v>254124</v>
      </c>
      <c r="L146" s="886"/>
      <c r="M146" s="888"/>
      <c r="N146" s="878"/>
      <c r="O146" s="878"/>
      <c r="P146" s="878"/>
      <c r="Q146" s="878"/>
      <c r="R146" s="889"/>
      <c r="S146" s="880"/>
    </row>
    <row r="147" spans="1:19" ht="15.75" customHeight="1" x14ac:dyDescent="0.2">
      <c r="A147" s="584"/>
      <c r="B147" s="589"/>
      <c r="C147" s="1900"/>
      <c r="D147" s="883"/>
      <c r="E147" s="902" t="s">
        <v>255</v>
      </c>
      <c r="F147" s="878"/>
      <c r="G147" s="878"/>
      <c r="H147" s="879"/>
      <c r="I147" s="879"/>
      <c r="J147" s="886"/>
      <c r="K147" s="909">
        <f>353321</f>
        <v>353321</v>
      </c>
      <c r="L147" s="878"/>
      <c r="M147" s="888"/>
      <c r="N147" s="878"/>
      <c r="O147" s="878"/>
      <c r="P147" s="878"/>
      <c r="Q147" s="878"/>
      <c r="R147" s="889"/>
      <c r="S147" s="880"/>
    </row>
    <row r="148" spans="1:19" ht="15.75" customHeight="1" x14ac:dyDescent="0.2">
      <c r="A148" s="584"/>
      <c r="B148" s="589"/>
      <c r="C148" s="1901"/>
      <c r="D148" s="883"/>
      <c r="E148" s="1027" t="s">
        <v>256</v>
      </c>
      <c r="F148" s="878"/>
      <c r="G148" s="878"/>
      <c r="H148" s="879"/>
      <c r="I148" s="879"/>
      <c r="J148" s="886"/>
      <c r="K148" s="878">
        <f>670821-317500</f>
        <v>353321</v>
      </c>
      <c r="L148" s="878"/>
      <c r="M148" s="888"/>
      <c r="N148" s="878"/>
      <c r="O148" s="878"/>
      <c r="P148" s="878"/>
      <c r="Q148" s="878"/>
      <c r="R148" s="889"/>
      <c r="S148" s="880"/>
    </row>
    <row r="149" spans="1:19" ht="15.75" customHeight="1" x14ac:dyDescent="0.2">
      <c r="A149" s="584"/>
      <c r="B149" s="589"/>
      <c r="C149" s="1899" t="s">
        <v>269</v>
      </c>
      <c r="D149" s="883"/>
      <c r="E149" s="933" t="s">
        <v>235</v>
      </c>
      <c r="F149" s="878"/>
      <c r="G149" s="878"/>
      <c r="H149" s="879"/>
      <c r="I149" s="879"/>
      <c r="J149" s="934"/>
      <c r="K149" s="878"/>
      <c r="L149" s="878"/>
      <c r="M149" s="888"/>
      <c r="N149" s="878"/>
      <c r="O149" s="878"/>
      <c r="P149" s="878"/>
      <c r="Q149" s="878"/>
      <c r="R149" s="889"/>
      <c r="S149" s="880"/>
    </row>
    <row r="150" spans="1:19" ht="15.75" customHeight="1" x14ac:dyDescent="0.2">
      <c r="A150" s="584"/>
      <c r="B150" s="589"/>
      <c r="C150" s="1900"/>
      <c r="D150" s="883"/>
      <c r="E150" s="1027" t="s">
        <v>254</v>
      </c>
      <c r="F150" s="878"/>
      <c r="G150" s="878"/>
      <c r="H150" s="879">
        <v>0</v>
      </c>
      <c r="I150" s="879"/>
      <c r="J150" s="934"/>
      <c r="K150" s="878">
        <v>1335696</v>
      </c>
      <c r="L150" s="878"/>
      <c r="M150" s="888">
        <f t="shared" si="116"/>
        <v>1335696</v>
      </c>
      <c r="N150" s="878"/>
      <c r="O150" s="878"/>
      <c r="P150" s="878"/>
      <c r="Q150" s="878"/>
      <c r="R150" s="889">
        <f t="shared" si="117"/>
        <v>1335696</v>
      </c>
      <c r="S150" s="880"/>
    </row>
    <row r="151" spans="1:19" ht="15.75" customHeight="1" x14ac:dyDescent="0.2">
      <c r="A151" s="584"/>
      <c r="B151" s="589"/>
      <c r="C151" s="1900"/>
      <c r="D151" s="883"/>
      <c r="E151" s="1027" t="s">
        <v>255</v>
      </c>
      <c r="F151" s="878"/>
      <c r="G151" s="878"/>
      <c r="H151" s="887">
        <v>4258</v>
      </c>
      <c r="I151" s="887"/>
      <c r="J151" s="934"/>
      <c r="K151" s="886">
        <f>1333696+341</f>
        <v>1334037</v>
      </c>
      <c r="L151" s="886"/>
      <c r="M151" s="888">
        <f t="shared" si="116"/>
        <v>1338295</v>
      </c>
      <c r="N151" s="878"/>
      <c r="O151" s="878"/>
      <c r="P151" s="878"/>
      <c r="Q151" s="878"/>
      <c r="R151" s="889">
        <f t="shared" si="117"/>
        <v>1338295</v>
      </c>
      <c r="S151" s="880"/>
    </row>
    <row r="152" spans="1:19" ht="15.75" customHeight="1" x14ac:dyDescent="0.2">
      <c r="A152" s="584"/>
      <c r="B152" s="589"/>
      <c r="C152" s="1901"/>
      <c r="D152" s="883"/>
      <c r="E152" s="1027" t="s">
        <v>256</v>
      </c>
      <c r="F152" s="878"/>
      <c r="G152" s="878"/>
      <c r="H152" s="887">
        <v>4258</v>
      </c>
      <c r="I152" s="887"/>
      <c r="J152" s="934"/>
      <c r="K152" s="886">
        <v>1333696</v>
      </c>
      <c r="L152" s="886"/>
      <c r="M152" s="888">
        <f t="shared" si="116"/>
        <v>1337954</v>
      </c>
      <c r="N152" s="878"/>
      <c r="O152" s="878"/>
      <c r="P152" s="878"/>
      <c r="Q152" s="878"/>
      <c r="R152" s="889">
        <f t="shared" si="117"/>
        <v>1337954</v>
      </c>
      <c r="S152" s="880"/>
    </row>
    <row r="153" spans="1:19" s="875" customFormat="1" ht="15.75" customHeight="1" x14ac:dyDescent="0.2">
      <c r="A153" s="584"/>
      <c r="B153" s="589"/>
      <c r="C153" s="1185"/>
      <c r="D153" s="1920" t="s">
        <v>54</v>
      </c>
      <c r="E153" s="1027" t="s">
        <v>671</v>
      </c>
      <c r="F153" s="878"/>
      <c r="G153" s="878"/>
      <c r="H153" s="879"/>
      <c r="I153" s="879"/>
      <c r="J153" s="878"/>
      <c r="K153" s="878"/>
      <c r="L153" s="878"/>
      <c r="M153" s="888"/>
      <c r="N153" s="878"/>
      <c r="O153" s="878"/>
      <c r="P153" s="878"/>
      <c r="Q153" s="878"/>
      <c r="R153" s="889"/>
      <c r="S153" s="880"/>
    </row>
    <row r="154" spans="1:19" s="875" customFormat="1" ht="15.75" customHeight="1" x14ac:dyDescent="0.2">
      <c r="A154" s="584"/>
      <c r="B154" s="589"/>
      <c r="C154" s="1185"/>
      <c r="D154" s="1921"/>
      <c r="E154" s="1027" t="s">
        <v>254</v>
      </c>
      <c r="F154" s="878">
        <v>0</v>
      </c>
      <c r="G154" s="878">
        <v>0</v>
      </c>
      <c r="H154" s="879">
        <v>0</v>
      </c>
      <c r="I154" s="879"/>
      <c r="J154" s="878"/>
      <c r="K154" s="878">
        <v>0</v>
      </c>
      <c r="L154" s="878"/>
      <c r="M154" s="888"/>
      <c r="N154" s="878"/>
      <c r="O154" s="878"/>
      <c r="P154" s="878"/>
      <c r="Q154" s="878"/>
      <c r="R154" s="889"/>
      <c r="S154" s="880"/>
    </row>
    <row r="155" spans="1:19" s="875" customFormat="1" ht="15.75" customHeight="1" x14ac:dyDescent="0.2">
      <c r="A155" s="584"/>
      <c r="B155" s="589"/>
      <c r="C155" s="1185"/>
      <c r="D155" s="1921"/>
      <c r="E155" s="1027" t="s">
        <v>255</v>
      </c>
      <c r="F155" s="878">
        <v>0</v>
      </c>
      <c r="G155" s="878">
        <v>0</v>
      </c>
      <c r="H155" s="879">
        <v>0</v>
      </c>
      <c r="I155" s="879"/>
      <c r="J155" s="878"/>
      <c r="K155" s="878">
        <v>317500</v>
      </c>
      <c r="L155" s="878"/>
      <c r="M155" s="888"/>
      <c r="N155" s="878"/>
      <c r="O155" s="878"/>
      <c r="P155" s="878"/>
      <c r="Q155" s="878"/>
      <c r="R155" s="889"/>
      <c r="S155" s="880"/>
    </row>
    <row r="156" spans="1:19" s="875" customFormat="1" ht="15.75" customHeight="1" x14ac:dyDescent="0.2">
      <c r="A156" s="584"/>
      <c r="B156" s="589"/>
      <c r="C156" s="1185"/>
      <c r="D156" s="1922"/>
      <c r="E156" s="1027" t="s">
        <v>256</v>
      </c>
      <c r="F156" s="878">
        <v>0</v>
      </c>
      <c r="G156" s="878">
        <v>0</v>
      </c>
      <c r="H156" s="879">
        <v>0</v>
      </c>
      <c r="I156" s="879"/>
      <c r="J156" s="878"/>
      <c r="K156" s="878">
        <v>317500</v>
      </c>
      <c r="L156" s="878"/>
      <c r="M156" s="888"/>
      <c r="N156" s="878"/>
      <c r="O156" s="878"/>
      <c r="P156" s="878"/>
      <c r="Q156" s="878"/>
      <c r="R156" s="889"/>
      <c r="S156" s="880"/>
    </row>
    <row r="157" spans="1:19" ht="15.75" customHeight="1" x14ac:dyDescent="0.2">
      <c r="A157" s="584"/>
      <c r="B157" s="589"/>
      <c r="C157" s="1899" t="s">
        <v>270</v>
      </c>
      <c r="D157" s="883"/>
      <c r="E157" s="905" t="s">
        <v>236</v>
      </c>
      <c r="F157" s="878"/>
      <c r="G157" s="878"/>
      <c r="H157" s="934"/>
      <c r="I157" s="934"/>
      <c r="J157" s="934"/>
      <c r="K157" s="934"/>
      <c r="L157" s="934"/>
      <c r="M157" s="935"/>
      <c r="N157" s="878"/>
      <c r="O157" s="878"/>
      <c r="P157" s="878"/>
      <c r="Q157" s="878"/>
      <c r="R157" s="889"/>
      <c r="S157" s="880"/>
    </row>
    <row r="158" spans="1:19" ht="15.75" customHeight="1" x14ac:dyDescent="0.2">
      <c r="A158" s="584"/>
      <c r="B158" s="589"/>
      <c r="C158" s="1900"/>
      <c r="D158" s="883"/>
      <c r="E158" s="1027" t="s">
        <v>254</v>
      </c>
      <c r="F158" s="878"/>
      <c r="G158" s="878"/>
      <c r="H158" s="879">
        <v>2196244</v>
      </c>
      <c r="I158" s="879"/>
      <c r="J158" s="878">
        <v>153591</v>
      </c>
      <c r="K158" s="936">
        <v>153591</v>
      </c>
      <c r="L158" s="878"/>
      <c r="M158" s="888">
        <f>SUM(F158:L158)</f>
        <v>2503426</v>
      </c>
      <c r="N158" s="878"/>
      <c r="O158" s="878"/>
      <c r="P158" s="878"/>
      <c r="Q158" s="878"/>
      <c r="R158" s="889">
        <f>SUM(M158:Q158)</f>
        <v>2503426</v>
      </c>
      <c r="S158" s="880"/>
    </row>
    <row r="159" spans="1:19" ht="15.75" customHeight="1" x14ac:dyDescent="0.2">
      <c r="A159" s="584"/>
      <c r="B159" s="589"/>
      <c r="C159" s="1900"/>
      <c r="D159" s="883"/>
      <c r="E159" s="1027" t="s">
        <v>255</v>
      </c>
      <c r="F159" s="878"/>
      <c r="G159" s="878"/>
      <c r="H159" s="879">
        <v>0</v>
      </c>
      <c r="I159" s="879"/>
      <c r="J159" s="878"/>
      <c r="K159" s="878">
        <v>124553</v>
      </c>
      <c r="L159" s="878"/>
      <c r="M159" s="888">
        <f>SUM(F159:L159)</f>
        <v>124553</v>
      </c>
      <c r="N159" s="878"/>
      <c r="O159" s="878"/>
      <c r="P159" s="878"/>
      <c r="Q159" s="878"/>
      <c r="R159" s="889">
        <f t="shared" ref="R159:R164" si="124">SUM(M159:Q159)</f>
        <v>124553</v>
      </c>
      <c r="S159" s="880"/>
    </row>
    <row r="160" spans="1:19" s="875" customFormat="1" ht="15.75" customHeight="1" x14ac:dyDescent="0.2">
      <c r="A160" s="881"/>
      <c r="B160" s="882"/>
      <c r="C160" s="1901"/>
      <c r="D160" s="883"/>
      <c r="E160" s="1027" t="s">
        <v>256</v>
      </c>
      <c r="F160" s="878"/>
      <c r="G160" s="878"/>
      <c r="H160" s="879">
        <v>0</v>
      </c>
      <c r="I160" s="879"/>
      <c r="J160" s="878"/>
      <c r="K160" s="878">
        <v>124553</v>
      </c>
      <c r="L160" s="878"/>
      <c r="M160" s="888">
        <f>SUM(F160:L160)</f>
        <v>124553</v>
      </c>
      <c r="N160" s="878"/>
      <c r="O160" s="878"/>
      <c r="P160" s="878"/>
      <c r="Q160" s="878"/>
      <c r="R160" s="889">
        <f t="shared" si="124"/>
        <v>124553</v>
      </c>
      <c r="S160" s="880"/>
    </row>
    <row r="161" spans="1:19" ht="15.75" customHeight="1" x14ac:dyDescent="0.2">
      <c r="A161" s="584"/>
      <c r="B161" s="589"/>
      <c r="C161" s="1934" t="s">
        <v>271</v>
      </c>
      <c r="D161" s="900" t="s">
        <v>54</v>
      </c>
      <c r="E161" s="899" t="s">
        <v>243</v>
      </c>
      <c r="F161" s="878"/>
      <c r="G161" s="878"/>
      <c r="H161" s="879"/>
      <c r="I161" s="879"/>
      <c r="J161" s="878"/>
      <c r="K161" s="878"/>
      <c r="L161" s="878"/>
      <c r="M161" s="888"/>
      <c r="N161" s="878"/>
      <c r="O161" s="878"/>
      <c r="P161" s="878"/>
      <c r="Q161" s="878"/>
      <c r="R161" s="889"/>
      <c r="S161" s="880"/>
    </row>
    <row r="162" spans="1:19" ht="15.75" customHeight="1" x14ac:dyDescent="0.2">
      <c r="A162" s="584"/>
      <c r="B162" s="589"/>
      <c r="C162" s="1941"/>
      <c r="D162" s="900"/>
      <c r="E162" s="1027" t="s">
        <v>254</v>
      </c>
      <c r="F162" s="878"/>
      <c r="G162" s="878"/>
      <c r="H162" s="879"/>
      <c r="I162" s="879"/>
      <c r="J162" s="878"/>
      <c r="K162" s="878">
        <v>3000000</v>
      </c>
      <c r="L162" s="878"/>
      <c r="M162" s="888">
        <f t="shared" ref="M162:M204" si="125">SUM(F162:L162)</f>
        <v>3000000</v>
      </c>
      <c r="N162" s="878"/>
      <c r="O162" s="878"/>
      <c r="P162" s="878"/>
      <c r="Q162" s="878"/>
      <c r="R162" s="889">
        <f t="shared" si="124"/>
        <v>3000000</v>
      </c>
      <c r="S162" s="880"/>
    </row>
    <row r="163" spans="1:19" ht="15.75" customHeight="1" x14ac:dyDescent="0.2">
      <c r="A163" s="584"/>
      <c r="B163" s="589"/>
      <c r="C163" s="1941"/>
      <c r="D163" s="900"/>
      <c r="E163" s="1027" t="s">
        <v>255</v>
      </c>
      <c r="F163" s="878"/>
      <c r="G163" s="878"/>
      <c r="H163" s="879"/>
      <c r="I163" s="879"/>
      <c r="J163" s="878"/>
      <c r="K163" s="878">
        <v>3000000</v>
      </c>
      <c r="L163" s="878"/>
      <c r="M163" s="888">
        <f t="shared" si="125"/>
        <v>3000000</v>
      </c>
      <c r="N163" s="878"/>
      <c r="O163" s="878"/>
      <c r="P163" s="878"/>
      <c r="Q163" s="878"/>
      <c r="R163" s="889">
        <f t="shared" si="124"/>
        <v>3000000</v>
      </c>
      <c r="S163" s="880"/>
    </row>
    <row r="164" spans="1:19" s="875" customFormat="1" ht="15.75" customHeight="1" x14ac:dyDescent="0.2">
      <c r="A164" s="881"/>
      <c r="B164" s="882"/>
      <c r="C164" s="1942"/>
      <c r="D164" s="900"/>
      <c r="E164" s="1027" t="s">
        <v>256</v>
      </c>
      <c r="F164" s="878"/>
      <c r="G164" s="878"/>
      <c r="H164" s="879"/>
      <c r="I164" s="879"/>
      <c r="J164" s="878"/>
      <c r="K164" s="878">
        <v>1171286</v>
      </c>
      <c r="L164" s="878"/>
      <c r="M164" s="888">
        <f t="shared" si="125"/>
        <v>1171286</v>
      </c>
      <c r="N164" s="878"/>
      <c r="O164" s="878"/>
      <c r="P164" s="878"/>
      <c r="Q164" s="878"/>
      <c r="R164" s="889">
        <f t="shared" si="124"/>
        <v>1171286</v>
      </c>
      <c r="S164" s="880"/>
    </row>
    <row r="165" spans="1:19" ht="36" customHeight="1" x14ac:dyDescent="0.2">
      <c r="A165" s="584"/>
      <c r="B165" s="589"/>
      <c r="C165" s="1899" t="s">
        <v>265</v>
      </c>
      <c r="D165" s="883" t="s">
        <v>54</v>
      </c>
      <c r="E165" s="869" t="s">
        <v>253</v>
      </c>
      <c r="F165" s="878"/>
      <c r="G165" s="878"/>
      <c r="H165" s="879"/>
      <c r="I165" s="879"/>
      <c r="J165" s="878"/>
      <c r="K165" s="878"/>
      <c r="L165" s="878"/>
      <c r="M165" s="888">
        <f t="shared" si="125"/>
        <v>0</v>
      </c>
      <c r="N165" s="878"/>
      <c r="O165" s="878"/>
      <c r="P165" s="878"/>
      <c r="Q165" s="878"/>
      <c r="R165" s="889"/>
      <c r="S165" s="880"/>
    </row>
    <row r="166" spans="1:19" ht="15.75" customHeight="1" x14ac:dyDescent="0.2">
      <c r="A166" s="584"/>
      <c r="B166" s="589"/>
      <c r="C166" s="1900"/>
      <c r="D166" s="883"/>
      <c r="E166" s="1027" t="s">
        <v>254</v>
      </c>
      <c r="F166" s="878">
        <v>5172000</v>
      </c>
      <c r="G166" s="878">
        <v>1137840</v>
      </c>
      <c r="H166" s="879">
        <v>2072640</v>
      </c>
      <c r="I166" s="879"/>
      <c r="J166" s="878"/>
      <c r="K166" s="878"/>
      <c r="L166" s="878"/>
      <c r="M166" s="888">
        <f>SUM(F166:L166)</f>
        <v>8382480</v>
      </c>
      <c r="N166" s="878">
        <v>0</v>
      </c>
      <c r="O166" s="878"/>
      <c r="P166" s="878"/>
      <c r="Q166" s="878"/>
      <c r="R166" s="889">
        <f>SUM(M166:Q166)</f>
        <v>8382480</v>
      </c>
      <c r="S166" s="880">
        <v>2</v>
      </c>
    </row>
    <row r="167" spans="1:19" ht="15.75" customHeight="1" x14ac:dyDescent="0.2">
      <c r="A167" s="584">
        <v>2</v>
      </c>
      <c r="B167" s="589"/>
      <c r="C167" s="1900"/>
      <c r="D167" s="883"/>
      <c r="E167" s="1027" t="s">
        <v>255</v>
      </c>
      <c r="F167" s="878">
        <v>5381000</v>
      </c>
      <c r="G167" s="878">
        <v>1065399</v>
      </c>
      <c r="H167" s="879">
        <v>600000</v>
      </c>
      <c r="I167" s="879"/>
      <c r="J167" s="878"/>
      <c r="K167" s="878"/>
      <c r="L167" s="878"/>
      <c r="M167" s="888">
        <f t="shared" ref="M167:M168" si="126">SUM(F167:L167)</f>
        <v>7046399</v>
      </c>
      <c r="N167" s="878">
        <v>0</v>
      </c>
      <c r="O167" s="878"/>
      <c r="P167" s="878"/>
      <c r="Q167" s="878"/>
      <c r="R167" s="889">
        <f t="shared" ref="R167:R168" si="127">SUM(M167:Q167)</f>
        <v>7046399</v>
      </c>
      <c r="S167" s="880">
        <v>2</v>
      </c>
    </row>
    <row r="168" spans="1:19" ht="15.75" customHeight="1" x14ac:dyDescent="0.2">
      <c r="A168" s="584"/>
      <c r="B168" s="589"/>
      <c r="C168" s="1901"/>
      <c r="D168" s="883"/>
      <c r="E168" s="1027" t="s">
        <v>256</v>
      </c>
      <c r="F168" s="878">
        <v>5381000</v>
      </c>
      <c r="G168" s="878">
        <v>1065399</v>
      </c>
      <c r="H168" s="879">
        <v>558262</v>
      </c>
      <c r="I168" s="879"/>
      <c r="J168" s="878"/>
      <c r="K168" s="878"/>
      <c r="L168" s="878"/>
      <c r="M168" s="888">
        <f t="shared" si="126"/>
        <v>7004661</v>
      </c>
      <c r="N168" s="878">
        <v>0</v>
      </c>
      <c r="O168" s="878"/>
      <c r="P168" s="878"/>
      <c r="Q168" s="878"/>
      <c r="R168" s="889">
        <f t="shared" si="127"/>
        <v>7004661</v>
      </c>
      <c r="S168" s="880">
        <v>2</v>
      </c>
    </row>
    <row r="169" spans="1:19" ht="15.75" customHeight="1" x14ac:dyDescent="0.2">
      <c r="A169" s="584">
        <v>3</v>
      </c>
      <c r="B169" s="589"/>
      <c r="C169" s="1899" t="s">
        <v>4</v>
      </c>
      <c r="D169" s="883" t="s">
        <v>54</v>
      </c>
      <c r="E169" s="893" t="s">
        <v>221</v>
      </c>
      <c r="F169" s="878"/>
      <c r="G169" s="878"/>
      <c r="H169" s="879"/>
      <c r="I169" s="879"/>
      <c r="J169" s="878"/>
      <c r="K169" s="878"/>
      <c r="L169" s="878"/>
      <c r="M169" s="888"/>
      <c r="N169" s="878"/>
      <c r="O169" s="878"/>
      <c r="P169" s="878"/>
      <c r="Q169" s="878"/>
      <c r="R169" s="889"/>
      <c r="S169" s="880"/>
    </row>
    <row r="170" spans="1:19" ht="15.75" customHeight="1" x14ac:dyDescent="0.2">
      <c r="A170" s="584"/>
      <c r="B170" s="589"/>
      <c r="C170" s="1900"/>
      <c r="D170" s="884"/>
      <c r="E170" s="1027" t="s">
        <v>254</v>
      </c>
      <c r="F170" s="878"/>
      <c r="G170" s="878"/>
      <c r="H170" s="879">
        <v>200000</v>
      </c>
      <c r="I170" s="879"/>
      <c r="J170" s="878"/>
      <c r="K170" s="878"/>
      <c r="L170" s="878"/>
      <c r="M170" s="888">
        <f>SUM(F170:L170)</f>
        <v>200000</v>
      </c>
      <c r="N170" s="878">
        <f>'6 beruházások'!D19</f>
        <v>0</v>
      </c>
      <c r="O170" s="878"/>
      <c r="P170" s="878"/>
      <c r="Q170" s="878"/>
      <c r="R170" s="889">
        <f>SUM(M170:Q170)</f>
        <v>200000</v>
      </c>
      <c r="S170" s="880"/>
    </row>
    <row r="171" spans="1:19" ht="15.75" customHeight="1" x14ac:dyDescent="0.2">
      <c r="A171" s="584"/>
      <c r="B171" s="589"/>
      <c r="C171" s="1900"/>
      <c r="D171" s="884"/>
      <c r="E171" s="1027" t="s">
        <v>255</v>
      </c>
      <c r="F171" s="878"/>
      <c r="G171" s="878"/>
      <c r="H171" s="879">
        <v>563521</v>
      </c>
      <c r="I171" s="879"/>
      <c r="J171" s="878"/>
      <c r="K171" s="878"/>
      <c r="L171" s="878"/>
      <c r="M171" s="888">
        <f t="shared" ref="M171:M172" si="128">SUM(F171:L171)</f>
        <v>563521</v>
      </c>
      <c r="N171" s="878">
        <f>'6 beruházások'!E19</f>
        <v>700000</v>
      </c>
      <c r="O171" s="878"/>
      <c r="P171" s="878"/>
      <c r="Q171" s="878"/>
      <c r="R171" s="889">
        <f t="shared" ref="R171:R172" si="129">SUM(M171:Q171)</f>
        <v>1263521</v>
      </c>
      <c r="S171" s="880"/>
    </row>
    <row r="172" spans="1:19" s="805" customFormat="1" ht="15.75" customHeight="1" x14ac:dyDescent="0.2">
      <c r="A172" s="803"/>
      <c r="B172" s="804"/>
      <c r="C172" s="1901"/>
      <c r="D172" s="884"/>
      <c r="E172" s="1027" t="s">
        <v>256</v>
      </c>
      <c r="F172" s="878"/>
      <c r="G172" s="878"/>
      <c r="H172" s="879">
        <v>563521</v>
      </c>
      <c r="I172" s="879"/>
      <c r="J172" s="878"/>
      <c r="K172" s="878"/>
      <c r="L172" s="878"/>
      <c r="M172" s="888">
        <f t="shared" si="128"/>
        <v>563521</v>
      </c>
      <c r="N172" s="878">
        <f>'6 beruházások'!F19</f>
        <v>699600</v>
      </c>
      <c r="O172" s="878"/>
      <c r="P172" s="878"/>
      <c r="Q172" s="878"/>
      <c r="R172" s="889">
        <f t="shared" si="129"/>
        <v>1263121</v>
      </c>
      <c r="S172" s="880"/>
    </row>
    <row r="173" spans="1:19" ht="15.75" customHeight="1" x14ac:dyDescent="0.2">
      <c r="A173" s="584"/>
      <c r="B173" s="589"/>
      <c r="C173" s="1899" t="s">
        <v>5</v>
      </c>
      <c r="D173" s="1920" t="s">
        <v>54</v>
      </c>
      <c r="E173" s="893" t="s">
        <v>218</v>
      </c>
      <c r="F173" s="878"/>
      <c r="G173" s="878"/>
      <c r="H173" s="879"/>
      <c r="I173" s="879"/>
      <c r="J173" s="878"/>
      <c r="K173" s="878"/>
      <c r="L173" s="878"/>
      <c r="M173" s="888"/>
      <c r="N173" s="878"/>
      <c r="O173" s="878"/>
      <c r="P173" s="878"/>
      <c r="Q173" s="878"/>
      <c r="R173" s="889"/>
      <c r="S173" s="880"/>
    </row>
    <row r="174" spans="1:19" ht="15.75" customHeight="1" x14ac:dyDescent="0.2">
      <c r="A174" s="584"/>
      <c r="B174" s="589"/>
      <c r="C174" s="1900"/>
      <c r="D174" s="1921"/>
      <c r="E174" s="1027" t="s">
        <v>254</v>
      </c>
      <c r="F174" s="878"/>
      <c r="G174" s="878"/>
      <c r="H174" s="879">
        <v>1300000</v>
      </c>
      <c r="I174" s="879"/>
      <c r="J174" s="878"/>
      <c r="K174" s="878"/>
      <c r="L174" s="878"/>
      <c r="M174" s="888">
        <f>SUM(F174:L174)</f>
        <v>1300000</v>
      </c>
      <c r="N174" s="878">
        <v>0</v>
      </c>
      <c r="O174" s="878"/>
      <c r="P174" s="878"/>
      <c r="Q174" s="878"/>
      <c r="R174" s="889">
        <f>SUM(M174:Q174)</f>
        <v>1300000</v>
      </c>
      <c r="S174" s="880"/>
    </row>
    <row r="175" spans="1:19" s="140" customFormat="1" ht="15.75" customHeight="1" x14ac:dyDescent="0.2">
      <c r="A175" s="584">
        <v>4</v>
      </c>
      <c r="B175" s="589"/>
      <c r="C175" s="1900"/>
      <c r="D175" s="1921"/>
      <c r="E175" s="1027" t="s">
        <v>255</v>
      </c>
      <c r="F175" s="878"/>
      <c r="G175" s="878"/>
      <c r="H175" s="879">
        <v>0</v>
      </c>
      <c r="I175" s="879"/>
      <c r="J175" s="878"/>
      <c r="K175" s="878"/>
      <c r="L175" s="878"/>
      <c r="M175" s="888">
        <f t="shared" ref="M175:M176" si="130">SUM(F175:L175)</f>
        <v>0</v>
      </c>
      <c r="N175" s="878">
        <f>'6 beruházások'!E57</f>
        <v>15000000</v>
      </c>
      <c r="O175" s="878"/>
      <c r="P175" s="878"/>
      <c r="Q175" s="878"/>
      <c r="R175" s="889">
        <f t="shared" ref="R175:R176" si="131">SUM(M175:Q175)</f>
        <v>15000000</v>
      </c>
      <c r="S175" s="880"/>
    </row>
    <row r="176" spans="1:19" s="140" customFormat="1" ht="15.75" customHeight="1" x14ac:dyDescent="0.2">
      <c r="A176" s="584"/>
      <c r="B176" s="589"/>
      <c r="C176" s="1901"/>
      <c r="D176" s="1922"/>
      <c r="E176" s="1027" t="s">
        <v>256</v>
      </c>
      <c r="F176" s="878"/>
      <c r="G176" s="878"/>
      <c r="H176" s="879">
        <v>0</v>
      </c>
      <c r="I176" s="879"/>
      <c r="J176" s="878"/>
      <c r="K176" s="878"/>
      <c r="L176" s="878"/>
      <c r="M176" s="888">
        <f t="shared" si="130"/>
        <v>0</v>
      </c>
      <c r="N176" s="878">
        <f>'6 beruházások'!F57</f>
        <v>0</v>
      </c>
      <c r="O176" s="878"/>
      <c r="P176" s="878"/>
      <c r="Q176" s="878"/>
      <c r="R176" s="889">
        <f t="shared" si="131"/>
        <v>0</v>
      </c>
      <c r="S176" s="880"/>
    </row>
    <row r="177" spans="1:19" s="140" customFormat="1" ht="15.75" customHeight="1" x14ac:dyDescent="0.2">
      <c r="A177" s="584"/>
      <c r="B177" s="589"/>
      <c r="C177" s="1899" t="s">
        <v>6</v>
      </c>
      <c r="D177" s="1920" t="s">
        <v>54</v>
      </c>
      <c r="E177" s="893" t="s">
        <v>41</v>
      </c>
      <c r="F177" s="878"/>
      <c r="G177" s="878"/>
      <c r="H177" s="879"/>
      <c r="I177" s="879"/>
      <c r="J177" s="878"/>
      <c r="K177" s="878"/>
      <c r="L177" s="878"/>
      <c r="M177" s="888"/>
      <c r="N177" s="878"/>
      <c r="O177" s="878"/>
      <c r="P177" s="878"/>
      <c r="Q177" s="878"/>
      <c r="R177" s="889"/>
      <c r="S177" s="880"/>
    </row>
    <row r="178" spans="1:19" s="140" customFormat="1" ht="15.75" customHeight="1" x14ac:dyDescent="0.2">
      <c r="A178" s="584"/>
      <c r="B178" s="589"/>
      <c r="C178" s="1900"/>
      <c r="D178" s="1921"/>
      <c r="E178" s="1027" t="s">
        <v>254</v>
      </c>
      <c r="F178" s="878"/>
      <c r="G178" s="878"/>
      <c r="H178" s="879">
        <v>4000000</v>
      </c>
      <c r="I178" s="879"/>
      <c r="J178" s="878"/>
      <c r="K178" s="878"/>
      <c r="L178" s="878"/>
      <c r="M178" s="888">
        <f>SUM(F178:L178)</f>
        <v>4000000</v>
      </c>
      <c r="N178" s="878"/>
      <c r="O178" s="878"/>
      <c r="P178" s="878"/>
      <c r="Q178" s="878"/>
      <c r="R178" s="889">
        <f>SUM(M178:Q178)</f>
        <v>4000000</v>
      </c>
      <c r="S178" s="880"/>
    </row>
    <row r="179" spans="1:19" ht="15.75" customHeight="1" x14ac:dyDescent="0.2">
      <c r="A179" s="584">
        <v>5</v>
      </c>
      <c r="B179" s="589"/>
      <c r="C179" s="1900"/>
      <c r="D179" s="1921"/>
      <c r="E179" s="1027" t="s">
        <v>255</v>
      </c>
      <c r="F179" s="878"/>
      <c r="G179" s="878"/>
      <c r="H179" s="879">
        <v>4000000</v>
      </c>
      <c r="I179" s="879"/>
      <c r="J179" s="878"/>
      <c r="K179" s="878"/>
      <c r="L179" s="878"/>
      <c r="M179" s="888">
        <f t="shared" ref="M179:M180" si="132">SUM(F179:L179)</f>
        <v>4000000</v>
      </c>
      <c r="N179" s="878"/>
      <c r="O179" s="878"/>
      <c r="P179" s="878"/>
      <c r="Q179" s="878"/>
      <c r="R179" s="889">
        <f t="shared" ref="R179:R180" si="133">SUM(M179:Q179)</f>
        <v>4000000</v>
      </c>
      <c r="S179" s="880"/>
    </row>
    <row r="180" spans="1:19" ht="15.75" customHeight="1" x14ac:dyDescent="0.2">
      <c r="A180" s="584"/>
      <c r="B180" s="589"/>
      <c r="C180" s="1901"/>
      <c r="D180" s="1922"/>
      <c r="E180" s="1027" t="s">
        <v>256</v>
      </c>
      <c r="F180" s="878"/>
      <c r="G180" s="878"/>
      <c r="H180" s="879">
        <v>3616298</v>
      </c>
      <c r="I180" s="879"/>
      <c r="J180" s="878"/>
      <c r="K180" s="878"/>
      <c r="L180" s="878"/>
      <c r="M180" s="888">
        <f t="shared" si="132"/>
        <v>3616298</v>
      </c>
      <c r="N180" s="878"/>
      <c r="O180" s="878"/>
      <c r="P180" s="878"/>
      <c r="Q180" s="878"/>
      <c r="R180" s="889">
        <f t="shared" si="133"/>
        <v>3616298</v>
      </c>
      <c r="S180" s="880"/>
    </row>
    <row r="181" spans="1:19" ht="15.75" customHeight="1" x14ac:dyDescent="0.15">
      <c r="A181" s="584"/>
      <c r="B181" s="589"/>
      <c r="C181" s="1899" t="s">
        <v>7</v>
      </c>
      <c r="D181" s="1920" t="s">
        <v>54</v>
      </c>
      <c r="E181" s="859" t="s">
        <v>40</v>
      </c>
      <c r="F181" s="878"/>
      <c r="G181" s="878"/>
      <c r="H181" s="879"/>
      <c r="I181" s="879"/>
      <c r="J181" s="878"/>
      <c r="K181" s="878"/>
      <c r="L181" s="878"/>
      <c r="M181" s="888"/>
      <c r="N181" s="878"/>
      <c r="O181" s="878"/>
      <c r="P181" s="878"/>
      <c r="Q181" s="878"/>
      <c r="R181" s="889"/>
      <c r="S181" s="880"/>
    </row>
    <row r="182" spans="1:19" ht="15.75" customHeight="1" x14ac:dyDescent="0.2">
      <c r="A182" s="584"/>
      <c r="B182" s="589"/>
      <c r="C182" s="1900"/>
      <c r="D182" s="1921"/>
      <c r="E182" s="1027" t="s">
        <v>254</v>
      </c>
      <c r="F182" s="878">
        <v>0</v>
      </c>
      <c r="G182" s="878">
        <v>0</v>
      </c>
      <c r="H182" s="879">
        <v>10000000</v>
      </c>
      <c r="I182" s="879"/>
      <c r="J182" s="878"/>
      <c r="K182" s="878"/>
      <c r="L182" s="878"/>
      <c r="M182" s="888">
        <f>SUM(F182:L182)</f>
        <v>10000000</v>
      </c>
      <c r="N182" s="878">
        <f>'6 beruházások'!D27</f>
        <v>0</v>
      </c>
      <c r="O182" s="878"/>
      <c r="P182" s="878"/>
      <c r="Q182" s="878"/>
      <c r="R182" s="889">
        <f>SUM(M182:Q182)</f>
        <v>10000000</v>
      </c>
      <c r="S182" s="880"/>
    </row>
    <row r="183" spans="1:19" ht="15.75" customHeight="1" x14ac:dyDescent="0.2">
      <c r="A183" s="584">
        <v>6</v>
      </c>
      <c r="B183" s="589"/>
      <c r="C183" s="1900"/>
      <c r="D183" s="1921"/>
      <c r="E183" s="1027" t="s">
        <v>255</v>
      </c>
      <c r="F183" s="878">
        <v>517500</v>
      </c>
      <c r="G183" s="878">
        <v>100915</v>
      </c>
      <c r="H183" s="879">
        <v>9000000</v>
      </c>
      <c r="I183" s="879"/>
      <c r="J183" s="878"/>
      <c r="K183" s="878"/>
      <c r="L183" s="878"/>
      <c r="M183" s="888">
        <f t="shared" ref="M183:M184" si="134">SUM(F183:L183)</f>
        <v>9618415</v>
      </c>
      <c r="N183" s="878">
        <f>'6 beruházások'!E27</f>
        <v>220199</v>
      </c>
      <c r="O183" s="878"/>
      <c r="P183" s="878"/>
      <c r="Q183" s="878"/>
      <c r="R183" s="889">
        <f t="shared" ref="R183:R184" si="135">SUM(M183:Q183)</f>
        <v>9838614</v>
      </c>
      <c r="S183" s="880"/>
    </row>
    <row r="184" spans="1:19" ht="15.75" customHeight="1" x14ac:dyDescent="0.2">
      <c r="A184" s="584"/>
      <c r="B184" s="589"/>
      <c r="C184" s="1901"/>
      <c r="D184" s="1922"/>
      <c r="E184" s="1027" t="s">
        <v>256</v>
      </c>
      <c r="F184" s="878">
        <v>517500</v>
      </c>
      <c r="G184" s="878">
        <v>100915</v>
      </c>
      <c r="H184" s="879">
        <v>8831225</v>
      </c>
      <c r="I184" s="879"/>
      <c r="J184" s="878"/>
      <c r="K184" s="878"/>
      <c r="L184" s="878"/>
      <c r="M184" s="888">
        <f t="shared" si="134"/>
        <v>9449640</v>
      </c>
      <c r="N184" s="878">
        <f>'6 beruházások'!F27</f>
        <v>214885</v>
      </c>
      <c r="O184" s="878"/>
      <c r="P184" s="878"/>
      <c r="Q184" s="878"/>
      <c r="R184" s="889">
        <f t="shared" si="135"/>
        <v>9664525</v>
      </c>
      <c r="S184" s="880"/>
    </row>
    <row r="185" spans="1:19" ht="15.75" customHeight="1" x14ac:dyDescent="0.2">
      <c r="A185" s="584"/>
      <c r="B185" s="589"/>
      <c r="C185" s="1949" t="s">
        <v>8</v>
      </c>
      <c r="D185" s="1920" t="s">
        <v>54</v>
      </c>
      <c r="E185" s="1403" t="s">
        <v>219</v>
      </c>
      <c r="F185" s="878"/>
      <c r="G185" s="878"/>
      <c r="H185" s="879"/>
      <c r="I185" s="879"/>
      <c r="J185" s="878"/>
      <c r="K185" s="878"/>
      <c r="L185" s="878"/>
      <c r="M185" s="888"/>
      <c r="N185" s="878"/>
      <c r="O185" s="878"/>
      <c r="P185" s="878"/>
      <c r="Q185" s="878"/>
      <c r="R185" s="889"/>
      <c r="S185" s="880"/>
    </row>
    <row r="186" spans="1:19" s="875" customFormat="1" ht="15.75" customHeight="1" x14ac:dyDescent="0.2">
      <c r="A186" s="881"/>
      <c r="B186" s="882"/>
      <c r="C186" s="1902"/>
      <c r="D186" s="1921"/>
      <c r="E186" s="1027" t="s">
        <v>254</v>
      </c>
      <c r="F186" s="878">
        <v>0</v>
      </c>
      <c r="G186" s="878">
        <v>0</v>
      </c>
      <c r="H186" s="879">
        <v>750000</v>
      </c>
      <c r="I186" s="879"/>
      <c r="J186" s="878"/>
      <c r="K186" s="878"/>
      <c r="L186" s="878"/>
      <c r="M186" s="888">
        <f>SUM(F186:L186)</f>
        <v>750000</v>
      </c>
      <c r="N186" s="878">
        <f>'6 beruházások'!D14</f>
        <v>250000</v>
      </c>
      <c r="O186" s="878"/>
      <c r="P186" s="878"/>
      <c r="Q186" s="878"/>
      <c r="R186" s="889">
        <f>SUM(M186:Q186)</f>
        <v>1000000</v>
      </c>
      <c r="S186" s="880"/>
    </row>
    <row r="187" spans="1:19" ht="15.75" customHeight="1" x14ac:dyDescent="0.2">
      <c r="A187" s="584">
        <v>7</v>
      </c>
      <c r="B187" s="589"/>
      <c r="C187" s="1902"/>
      <c r="D187" s="1921"/>
      <c r="E187" s="1027" t="s">
        <v>255</v>
      </c>
      <c r="F187" s="878">
        <v>0</v>
      </c>
      <c r="G187" s="878">
        <v>0</v>
      </c>
      <c r="H187" s="879">
        <f>5000000</f>
        <v>5000000</v>
      </c>
      <c r="I187" s="879"/>
      <c r="J187" s="878"/>
      <c r="K187" s="878"/>
      <c r="L187" s="878"/>
      <c r="M187" s="888">
        <f t="shared" ref="M187:M188" si="136">SUM(F187:L187)</f>
        <v>5000000</v>
      </c>
      <c r="N187" s="878">
        <f>'6 beruházások'!E14</f>
        <v>7461921</v>
      </c>
      <c r="O187" s="878"/>
      <c r="P187" s="878"/>
      <c r="Q187" s="878"/>
      <c r="R187" s="889">
        <f t="shared" ref="R187:R188" si="137">SUM(M187:Q187)</f>
        <v>12461921</v>
      </c>
      <c r="S187" s="880"/>
    </row>
    <row r="188" spans="1:19" ht="15.75" customHeight="1" x14ac:dyDescent="0.2">
      <c r="A188" s="584"/>
      <c r="B188" s="589"/>
      <c r="C188" s="1903"/>
      <c r="D188" s="1922"/>
      <c r="E188" s="1027" t="s">
        <v>256</v>
      </c>
      <c r="F188" s="878">
        <v>0</v>
      </c>
      <c r="G188" s="878">
        <v>0</v>
      </c>
      <c r="H188" s="879">
        <v>4962584</v>
      </c>
      <c r="I188" s="879"/>
      <c r="J188" s="878"/>
      <c r="K188" s="878"/>
      <c r="L188" s="878"/>
      <c r="M188" s="888">
        <f t="shared" si="136"/>
        <v>4962584</v>
      </c>
      <c r="N188" s="878">
        <f>'6 beruházások'!F14</f>
        <v>4420480.49</v>
      </c>
      <c r="O188" s="878"/>
      <c r="P188" s="878"/>
      <c r="Q188" s="878"/>
      <c r="R188" s="889">
        <f t="shared" si="137"/>
        <v>9383064.4900000002</v>
      </c>
      <c r="S188" s="880"/>
    </row>
    <row r="189" spans="1:19" ht="22.5" customHeight="1" x14ac:dyDescent="0.15">
      <c r="A189" s="584">
        <v>8</v>
      </c>
      <c r="B189" s="589"/>
      <c r="C189" s="1899" t="s">
        <v>9</v>
      </c>
      <c r="D189" s="1920"/>
      <c r="E189" s="890" t="s">
        <v>659</v>
      </c>
      <c r="F189" s="878"/>
      <c r="G189" s="886"/>
      <c r="H189" s="886"/>
      <c r="I189" s="887"/>
      <c r="J189" s="886"/>
      <c r="K189" s="886"/>
      <c r="L189" s="886"/>
      <c r="M189" s="888"/>
      <c r="N189" s="886"/>
      <c r="O189" s="886"/>
      <c r="P189" s="886"/>
      <c r="Q189" s="886"/>
      <c r="R189" s="889"/>
      <c r="S189" s="880"/>
    </row>
    <row r="190" spans="1:19" ht="15.75" customHeight="1" x14ac:dyDescent="0.2">
      <c r="A190" s="584"/>
      <c r="B190" s="589"/>
      <c r="C190" s="1900"/>
      <c r="D190" s="1921"/>
      <c r="E190" s="1027" t="s">
        <v>254</v>
      </c>
      <c r="F190" s="878">
        <f>F194+F198</f>
        <v>0</v>
      </c>
      <c r="G190" s="878">
        <f t="shared" ref="G190:L190" si="138">G194+G198</f>
        <v>0</v>
      </c>
      <c r="H190" s="878">
        <f>H194+H198</f>
        <v>0</v>
      </c>
      <c r="I190" s="878">
        <f t="shared" si="138"/>
        <v>0</v>
      </c>
      <c r="J190" s="878">
        <f t="shared" si="138"/>
        <v>0</v>
      </c>
      <c r="K190" s="878">
        <f t="shared" si="138"/>
        <v>0</v>
      </c>
      <c r="L190" s="878">
        <f t="shared" si="138"/>
        <v>0</v>
      </c>
      <c r="M190" s="888">
        <f>SUM(F190:L190)</f>
        <v>0</v>
      </c>
      <c r="N190" s="886">
        <f>N194</f>
        <v>0</v>
      </c>
      <c r="O190" s="886"/>
      <c r="P190" s="1404"/>
      <c r="Q190" s="1405"/>
      <c r="R190" s="889">
        <f t="shared" ref="R190:R212" si="139">SUM(M190:Q190)</f>
        <v>0</v>
      </c>
      <c r="S190" s="880"/>
    </row>
    <row r="191" spans="1:19" ht="15.75" customHeight="1" x14ac:dyDescent="0.2">
      <c r="A191" s="584"/>
      <c r="B191" s="589"/>
      <c r="C191" s="1900"/>
      <c r="D191" s="1921"/>
      <c r="E191" s="1027" t="s">
        <v>255</v>
      </c>
      <c r="F191" s="878">
        <f t="shared" ref="F191:L192" si="140">F195+F199</f>
        <v>0</v>
      </c>
      <c r="G191" s="878">
        <f t="shared" si="140"/>
        <v>0</v>
      </c>
      <c r="H191" s="878">
        <f>H195+H199</f>
        <v>1145521</v>
      </c>
      <c r="I191" s="878">
        <f t="shared" si="140"/>
        <v>0</v>
      </c>
      <c r="J191" s="878">
        <f t="shared" si="140"/>
        <v>0</v>
      </c>
      <c r="K191" s="878">
        <f t="shared" si="140"/>
        <v>0</v>
      </c>
      <c r="L191" s="878">
        <f t="shared" si="140"/>
        <v>0</v>
      </c>
      <c r="M191" s="888">
        <f t="shared" ref="M191:M200" si="141">SUM(F191:L191)</f>
        <v>1145521</v>
      </c>
      <c r="N191" s="886">
        <f t="shared" ref="N191:N192" si="142">N195</f>
        <v>158979.87</v>
      </c>
      <c r="O191" s="886"/>
      <c r="P191" s="1404"/>
      <c r="Q191" s="1405"/>
      <c r="R191" s="889">
        <f t="shared" si="139"/>
        <v>1304500.8700000001</v>
      </c>
      <c r="S191" s="880"/>
    </row>
    <row r="192" spans="1:19" ht="15.75" customHeight="1" x14ac:dyDescent="0.2">
      <c r="A192" s="584"/>
      <c r="B192" s="589"/>
      <c r="C192" s="1900"/>
      <c r="D192" s="1921"/>
      <c r="E192" s="1027" t="s">
        <v>256</v>
      </c>
      <c r="F192" s="878">
        <f t="shared" si="140"/>
        <v>0</v>
      </c>
      <c r="G192" s="878">
        <f t="shared" si="140"/>
        <v>0</v>
      </c>
      <c r="H192" s="878">
        <f>H196+H200</f>
        <v>1165756</v>
      </c>
      <c r="I192" s="878">
        <f t="shared" si="140"/>
        <v>0</v>
      </c>
      <c r="J192" s="878">
        <f t="shared" si="140"/>
        <v>0</v>
      </c>
      <c r="K192" s="878">
        <f t="shared" si="140"/>
        <v>0</v>
      </c>
      <c r="L192" s="878">
        <f t="shared" si="140"/>
        <v>0</v>
      </c>
      <c r="M192" s="888">
        <f t="shared" si="141"/>
        <v>1165756</v>
      </c>
      <c r="N192" s="886">
        <f t="shared" si="142"/>
        <v>158980</v>
      </c>
      <c r="O192" s="886"/>
      <c r="P192" s="1404"/>
      <c r="Q192" s="1405"/>
      <c r="R192" s="889">
        <f t="shared" si="139"/>
        <v>1324736</v>
      </c>
      <c r="S192" s="880"/>
    </row>
    <row r="193" spans="1:19" ht="15.75" customHeight="1" x14ac:dyDescent="0.2">
      <c r="A193" s="584"/>
      <c r="B193" s="589"/>
      <c r="C193" s="1900"/>
      <c r="D193" s="1921"/>
      <c r="E193" s="931" t="s">
        <v>65</v>
      </c>
      <c r="F193" s="878"/>
      <c r="G193" s="886"/>
      <c r="H193" s="886"/>
      <c r="I193" s="887"/>
      <c r="J193" s="886"/>
      <c r="K193" s="886"/>
      <c r="L193" s="886"/>
      <c r="M193" s="888"/>
      <c r="N193" s="886"/>
      <c r="O193" s="886"/>
      <c r="P193" s="1404"/>
      <c r="Q193" s="1405"/>
      <c r="R193" s="889"/>
      <c r="S193" s="880"/>
    </row>
    <row r="194" spans="1:19" ht="15.75" customHeight="1" x14ac:dyDescent="0.2">
      <c r="A194" s="584"/>
      <c r="B194" s="589"/>
      <c r="C194" s="1900"/>
      <c r="D194" s="1921"/>
      <c r="E194" s="1027" t="s">
        <v>254</v>
      </c>
      <c r="F194" s="878"/>
      <c r="G194" s="886"/>
      <c r="H194" s="886">
        <v>0</v>
      </c>
      <c r="I194" s="887"/>
      <c r="J194" s="886"/>
      <c r="K194" s="886"/>
      <c r="L194" s="886"/>
      <c r="M194" s="888">
        <f t="shared" si="141"/>
        <v>0</v>
      </c>
      <c r="N194" s="886">
        <f>'6 beruházások'!D29</f>
        <v>0</v>
      </c>
      <c r="O194" s="886"/>
      <c r="P194" s="1404"/>
      <c r="Q194" s="1405"/>
      <c r="R194" s="889">
        <f t="shared" si="139"/>
        <v>0</v>
      </c>
      <c r="S194" s="880"/>
    </row>
    <row r="195" spans="1:19" ht="15.75" customHeight="1" x14ac:dyDescent="0.2">
      <c r="A195" s="584"/>
      <c r="B195" s="589"/>
      <c r="C195" s="1900"/>
      <c r="D195" s="1921"/>
      <c r="E195" s="1027" t="s">
        <v>255</v>
      </c>
      <c r="F195" s="886"/>
      <c r="G195" s="886"/>
      <c r="H195" s="887">
        <v>1112776</v>
      </c>
      <c r="I195" s="887"/>
      <c r="J195" s="886"/>
      <c r="K195" s="886"/>
      <c r="L195" s="886"/>
      <c r="M195" s="888">
        <f t="shared" si="141"/>
        <v>1112776</v>
      </c>
      <c r="N195" s="886">
        <f>'6 beruházások'!E29</f>
        <v>158979.87</v>
      </c>
      <c r="O195" s="886"/>
      <c r="P195" s="1404"/>
      <c r="Q195" s="1405"/>
      <c r="R195" s="889">
        <f t="shared" si="139"/>
        <v>1271755.8700000001</v>
      </c>
      <c r="S195" s="880"/>
    </row>
    <row r="196" spans="1:19" ht="15.75" customHeight="1" x14ac:dyDescent="0.2">
      <c r="A196" s="584"/>
      <c r="B196" s="589"/>
      <c r="C196" s="1900"/>
      <c r="D196" s="1921"/>
      <c r="E196" s="1027" t="s">
        <v>256</v>
      </c>
      <c r="F196" s="590"/>
      <c r="G196" s="590"/>
      <c r="H196" s="730">
        <f>1112776+20235</f>
        <v>1133011</v>
      </c>
      <c r="I196" s="730"/>
      <c r="J196" s="590"/>
      <c r="K196" s="590"/>
      <c r="L196" s="590"/>
      <c r="M196" s="888">
        <f t="shared" si="141"/>
        <v>1133011</v>
      </c>
      <c r="N196" s="886">
        <f>'6 beruházások'!F29</f>
        <v>158980</v>
      </c>
      <c r="O196" s="590"/>
      <c r="P196" s="1404"/>
      <c r="Q196" s="1405"/>
      <c r="R196" s="889">
        <f t="shared" si="139"/>
        <v>1291991</v>
      </c>
      <c r="S196" s="880"/>
    </row>
    <row r="197" spans="1:19" ht="15.75" customHeight="1" x14ac:dyDescent="0.2">
      <c r="A197" s="584"/>
      <c r="B197" s="589"/>
      <c r="C197" s="1900"/>
      <c r="D197" s="1921"/>
      <c r="E197" s="931" t="s">
        <v>66</v>
      </c>
      <c r="F197" s="590"/>
      <c r="G197" s="590"/>
      <c r="H197" s="730"/>
      <c r="I197" s="730"/>
      <c r="J197" s="590"/>
      <c r="K197" s="590"/>
      <c r="L197" s="590"/>
      <c r="M197" s="888"/>
      <c r="N197" s="590"/>
      <c r="O197" s="590"/>
      <c r="P197" s="1404"/>
      <c r="Q197" s="1405"/>
      <c r="R197" s="889">
        <f t="shared" si="139"/>
        <v>0</v>
      </c>
      <c r="S197" s="880"/>
    </row>
    <row r="198" spans="1:19" ht="15.75" customHeight="1" x14ac:dyDescent="0.2">
      <c r="A198" s="584"/>
      <c r="B198" s="589"/>
      <c r="C198" s="1900"/>
      <c r="D198" s="1921"/>
      <c r="E198" s="1027" t="s">
        <v>254</v>
      </c>
      <c r="F198" s="590"/>
      <c r="G198" s="590"/>
      <c r="H198" s="730">
        <v>0</v>
      </c>
      <c r="I198" s="730"/>
      <c r="J198" s="590"/>
      <c r="K198" s="590"/>
      <c r="L198" s="590"/>
      <c r="M198" s="888">
        <f t="shared" si="141"/>
        <v>0</v>
      </c>
      <c r="N198" s="590">
        <f>H198</f>
        <v>0</v>
      </c>
      <c r="O198" s="590"/>
      <c r="P198" s="1404"/>
      <c r="Q198" s="1405"/>
      <c r="R198" s="889">
        <f t="shared" si="139"/>
        <v>0</v>
      </c>
      <c r="S198" s="880"/>
    </row>
    <row r="199" spans="1:19" ht="15.75" customHeight="1" x14ac:dyDescent="0.2">
      <c r="A199" s="584"/>
      <c r="B199" s="589"/>
      <c r="C199" s="1900"/>
      <c r="D199" s="1921"/>
      <c r="E199" s="1027" t="s">
        <v>255</v>
      </c>
      <c r="F199" s="590"/>
      <c r="G199" s="590"/>
      <c r="H199" s="730">
        <f>12510+20235</f>
        <v>32745</v>
      </c>
      <c r="I199" s="730"/>
      <c r="J199" s="590"/>
      <c r="K199" s="590"/>
      <c r="L199" s="590"/>
      <c r="M199" s="888">
        <f t="shared" si="141"/>
        <v>32745</v>
      </c>
      <c r="N199" s="590"/>
      <c r="O199" s="590"/>
      <c r="P199" s="886"/>
      <c r="Q199" s="1405"/>
      <c r="R199" s="889">
        <f t="shared" si="139"/>
        <v>32745</v>
      </c>
      <c r="S199" s="880"/>
    </row>
    <row r="200" spans="1:19" ht="15.75" customHeight="1" x14ac:dyDescent="0.2">
      <c r="A200" s="584"/>
      <c r="B200" s="589"/>
      <c r="C200" s="1901"/>
      <c r="D200" s="1922"/>
      <c r="E200" s="1027" t="s">
        <v>256</v>
      </c>
      <c r="F200" s="590"/>
      <c r="G200" s="590"/>
      <c r="H200" s="730">
        <f>12510+20235</f>
        <v>32745</v>
      </c>
      <c r="I200" s="730"/>
      <c r="J200" s="590"/>
      <c r="K200" s="590"/>
      <c r="L200" s="590"/>
      <c r="M200" s="888">
        <f t="shared" si="141"/>
        <v>32745</v>
      </c>
      <c r="N200" s="590"/>
      <c r="O200" s="590"/>
      <c r="P200" s="886"/>
      <c r="Q200" s="1405"/>
      <c r="R200" s="889">
        <f t="shared" si="139"/>
        <v>32745</v>
      </c>
      <c r="S200" s="880"/>
    </row>
    <row r="201" spans="1:19" ht="15.75" customHeight="1" x14ac:dyDescent="0.15">
      <c r="A201" s="584">
        <v>9</v>
      </c>
      <c r="B201" s="589"/>
      <c r="C201" s="1899" t="s">
        <v>10</v>
      </c>
      <c r="D201" s="883"/>
      <c r="E201" s="1406" t="s">
        <v>206</v>
      </c>
      <c r="F201" s="1005"/>
      <c r="G201" s="1005"/>
      <c r="H201" s="1005"/>
      <c r="I201" s="887"/>
      <c r="J201" s="886"/>
      <c r="K201" s="886"/>
      <c r="L201" s="886"/>
      <c r="M201" s="888"/>
      <c r="N201" s="886"/>
      <c r="O201" s="886"/>
      <c r="P201" s="886"/>
      <c r="Q201" s="1405"/>
      <c r="R201" s="889">
        <f t="shared" si="139"/>
        <v>0</v>
      </c>
      <c r="S201" s="885"/>
    </row>
    <row r="202" spans="1:19" ht="15.75" customHeight="1" x14ac:dyDescent="0.2">
      <c r="A202" s="584"/>
      <c r="B202" s="589"/>
      <c r="C202" s="1900"/>
      <c r="D202" s="883"/>
      <c r="E202" s="1027" t="s">
        <v>254</v>
      </c>
      <c r="F202" s="886">
        <v>0</v>
      </c>
      <c r="G202" s="886">
        <v>0</v>
      </c>
      <c r="H202" s="887">
        <v>0</v>
      </c>
      <c r="I202" s="887"/>
      <c r="J202" s="886"/>
      <c r="K202" s="886"/>
      <c r="L202" s="886"/>
      <c r="M202" s="888">
        <f t="shared" si="125"/>
        <v>0</v>
      </c>
      <c r="N202" s="886"/>
      <c r="O202" s="886"/>
      <c r="P202" s="878"/>
      <c r="Q202" s="878"/>
      <c r="R202" s="889">
        <f t="shared" si="139"/>
        <v>0</v>
      </c>
      <c r="S202" s="880"/>
    </row>
    <row r="203" spans="1:19" ht="15.75" customHeight="1" x14ac:dyDescent="0.2">
      <c r="A203" s="584"/>
      <c r="B203" s="589"/>
      <c r="C203" s="1900"/>
      <c r="D203" s="883"/>
      <c r="E203" s="1027" t="s">
        <v>255</v>
      </c>
      <c r="F203" s="886">
        <f t="shared" ref="F203:H204" si="143">F207+F211</f>
        <v>0</v>
      </c>
      <c r="G203" s="886">
        <f t="shared" si="143"/>
        <v>0</v>
      </c>
      <c r="H203" s="887">
        <f t="shared" si="143"/>
        <v>3191105</v>
      </c>
      <c r="I203" s="887"/>
      <c r="J203" s="886"/>
      <c r="K203" s="886"/>
      <c r="L203" s="886"/>
      <c r="M203" s="888">
        <f t="shared" si="125"/>
        <v>3191105</v>
      </c>
      <c r="N203" s="886">
        <f>N211</f>
        <v>0</v>
      </c>
      <c r="O203" s="886"/>
      <c r="P203" s="878"/>
      <c r="Q203" s="878"/>
      <c r="R203" s="889">
        <f t="shared" si="139"/>
        <v>3191105</v>
      </c>
      <c r="S203" s="880"/>
    </row>
    <row r="204" spans="1:19" ht="15.75" customHeight="1" x14ac:dyDescent="0.2">
      <c r="A204" s="584"/>
      <c r="B204" s="589"/>
      <c r="C204" s="1900"/>
      <c r="D204" s="883"/>
      <c r="E204" s="1027" t="s">
        <v>256</v>
      </c>
      <c r="F204" s="886">
        <f t="shared" si="143"/>
        <v>0</v>
      </c>
      <c r="G204" s="886">
        <f t="shared" si="143"/>
        <v>0</v>
      </c>
      <c r="H204" s="887">
        <f t="shared" si="143"/>
        <v>3191105</v>
      </c>
      <c r="I204" s="887"/>
      <c r="J204" s="886"/>
      <c r="K204" s="886"/>
      <c r="L204" s="886"/>
      <c r="M204" s="888">
        <f t="shared" si="125"/>
        <v>3191105</v>
      </c>
      <c r="N204" s="886"/>
      <c r="O204" s="886"/>
      <c r="P204" s="878"/>
      <c r="Q204" s="878"/>
      <c r="R204" s="889">
        <f t="shared" si="139"/>
        <v>3191105</v>
      </c>
      <c r="S204" s="880"/>
    </row>
    <row r="205" spans="1:19" ht="15.75" customHeight="1" x14ac:dyDescent="0.2">
      <c r="A205" s="584"/>
      <c r="B205" s="589"/>
      <c r="C205" s="1900"/>
      <c r="D205" s="1920" t="s">
        <v>54</v>
      </c>
      <c r="E205" s="931" t="s">
        <v>65</v>
      </c>
      <c r="F205" s="886"/>
      <c r="G205" s="886"/>
      <c r="H205" s="887"/>
      <c r="I205" s="887"/>
      <c r="J205" s="886"/>
      <c r="K205" s="886"/>
      <c r="L205" s="886"/>
      <c r="M205" s="888"/>
      <c r="N205" s="886"/>
      <c r="O205" s="886"/>
      <c r="P205" s="878"/>
      <c r="Q205" s="878"/>
      <c r="R205" s="889">
        <f t="shared" si="139"/>
        <v>0</v>
      </c>
      <c r="S205" s="880"/>
    </row>
    <row r="206" spans="1:19" ht="15.75" customHeight="1" x14ac:dyDescent="0.2">
      <c r="A206" s="584"/>
      <c r="B206" s="589"/>
      <c r="C206" s="1900"/>
      <c r="D206" s="1921"/>
      <c r="E206" s="1027" t="s">
        <v>254</v>
      </c>
      <c r="F206" s="886"/>
      <c r="G206" s="886"/>
      <c r="H206" s="887">
        <v>0</v>
      </c>
      <c r="I206" s="887"/>
      <c r="J206" s="886"/>
      <c r="K206" s="886"/>
      <c r="L206" s="886"/>
      <c r="M206" s="888"/>
      <c r="N206" s="886">
        <v>0</v>
      </c>
      <c r="O206" s="886"/>
      <c r="P206" s="878"/>
      <c r="Q206" s="878"/>
      <c r="R206" s="889">
        <f t="shared" si="139"/>
        <v>0</v>
      </c>
      <c r="S206" s="880"/>
    </row>
    <row r="207" spans="1:19" ht="15.75" customHeight="1" x14ac:dyDescent="0.2">
      <c r="A207" s="584"/>
      <c r="B207" s="589"/>
      <c r="C207" s="1900"/>
      <c r="D207" s="1921"/>
      <c r="E207" s="1027" t="s">
        <v>255</v>
      </c>
      <c r="F207" s="886">
        <v>0</v>
      </c>
      <c r="G207" s="886">
        <v>0</v>
      </c>
      <c r="H207" s="887">
        <v>2972449</v>
      </c>
      <c r="I207" s="887"/>
      <c r="J207" s="886"/>
      <c r="K207" s="886"/>
      <c r="L207" s="886"/>
      <c r="M207" s="888">
        <f>SUM(F207:L207)</f>
        <v>2972449</v>
      </c>
      <c r="N207" s="886"/>
      <c r="O207" s="886"/>
      <c r="P207" s="878"/>
      <c r="Q207" s="878"/>
      <c r="R207" s="889">
        <f t="shared" si="139"/>
        <v>2972449</v>
      </c>
      <c r="S207" s="880"/>
    </row>
    <row r="208" spans="1:19" ht="15.75" customHeight="1" x14ac:dyDescent="0.2">
      <c r="A208" s="584"/>
      <c r="B208" s="589"/>
      <c r="C208" s="1900"/>
      <c r="D208" s="1922"/>
      <c r="E208" s="1027" t="s">
        <v>256</v>
      </c>
      <c r="F208" s="886">
        <v>0</v>
      </c>
      <c r="G208" s="886">
        <v>0</v>
      </c>
      <c r="H208" s="887">
        <v>2972449</v>
      </c>
      <c r="I208" s="887"/>
      <c r="J208" s="886"/>
      <c r="K208" s="886"/>
      <c r="L208" s="886"/>
      <c r="M208" s="888">
        <f t="shared" ref="M208:M212" si="144">SUM(F208:L208)</f>
        <v>2972449</v>
      </c>
      <c r="N208" s="886"/>
      <c r="O208" s="886"/>
      <c r="P208" s="878"/>
      <c r="Q208" s="878"/>
      <c r="R208" s="889">
        <f t="shared" si="139"/>
        <v>2972449</v>
      </c>
      <c r="S208" s="880"/>
    </row>
    <row r="209" spans="1:19" ht="15.75" customHeight="1" x14ac:dyDescent="0.2">
      <c r="A209" s="584"/>
      <c r="B209" s="589"/>
      <c r="C209" s="1900"/>
      <c r="D209" s="1920" t="s">
        <v>55</v>
      </c>
      <c r="E209" s="931" t="s">
        <v>66</v>
      </c>
      <c r="F209" s="886"/>
      <c r="G209" s="886"/>
      <c r="H209" s="887"/>
      <c r="I209" s="887"/>
      <c r="J209" s="886"/>
      <c r="K209" s="886"/>
      <c r="L209" s="886"/>
      <c r="M209" s="888"/>
      <c r="N209" s="886"/>
      <c r="O209" s="886"/>
      <c r="P209" s="878"/>
      <c r="Q209" s="878"/>
      <c r="R209" s="889"/>
      <c r="S209" s="880"/>
    </row>
    <row r="210" spans="1:19" ht="15.75" customHeight="1" x14ac:dyDescent="0.2">
      <c r="A210" s="584"/>
      <c r="B210" s="589"/>
      <c r="C210" s="1900"/>
      <c r="D210" s="1921"/>
      <c r="E210" s="1027" t="s">
        <v>254</v>
      </c>
      <c r="F210" s="886">
        <v>0</v>
      </c>
      <c r="G210" s="886">
        <v>0</v>
      </c>
      <c r="H210" s="887">
        <v>0</v>
      </c>
      <c r="I210" s="887"/>
      <c r="J210" s="886"/>
      <c r="K210" s="886"/>
      <c r="L210" s="886"/>
      <c r="M210" s="888">
        <f t="shared" si="144"/>
        <v>0</v>
      </c>
      <c r="N210" s="886"/>
      <c r="O210" s="886"/>
      <c r="P210" s="878"/>
      <c r="Q210" s="878"/>
      <c r="R210" s="889">
        <f t="shared" si="139"/>
        <v>0</v>
      </c>
      <c r="S210" s="880"/>
    </row>
    <row r="211" spans="1:19" ht="15.75" customHeight="1" x14ac:dyDescent="0.2">
      <c r="A211" s="584"/>
      <c r="B211" s="589"/>
      <c r="C211" s="1900"/>
      <c r="D211" s="1921"/>
      <c r="E211" s="1027" t="s">
        <v>255</v>
      </c>
      <c r="F211" s="886">
        <v>0</v>
      </c>
      <c r="G211" s="886">
        <v>0</v>
      </c>
      <c r="H211" s="887">
        <f>218656</f>
        <v>218656</v>
      </c>
      <c r="I211" s="887"/>
      <c r="J211" s="886"/>
      <c r="K211" s="886"/>
      <c r="L211" s="886"/>
      <c r="M211" s="888">
        <f t="shared" si="144"/>
        <v>218656</v>
      </c>
      <c r="N211" s="886"/>
      <c r="O211" s="886"/>
      <c r="P211" s="878"/>
      <c r="Q211" s="878"/>
      <c r="R211" s="889">
        <f t="shared" si="139"/>
        <v>218656</v>
      </c>
      <c r="S211" s="880"/>
    </row>
    <row r="212" spans="1:19" ht="15.75" customHeight="1" x14ac:dyDescent="0.2">
      <c r="A212" s="584"/>
      <c r="B212" s="589"/>
      <c r="C212" s="1901"/>
      <c r="D212" s="1922"/>
      <c r="E212" s="1027" t="s">
        <v>256</v>
      </c>
      <c r="F212" s="886">
        <v>0</v>
      </c>
      <c r="G212" s="886">
        <v>0</v>
      </c>
      <c r="H212" s="887">
        <f>12510+206146</f>
        <v>218656</v>
      </c>
      <c r="I212" s="887"/>
      <c r="J212" s="886"/>
      <c r="K212" s="886"/>
      <c r="L212" s="886"/>
      <c r="M212" s="888">
        <f t="shared" si="144"/>
        <v>218656</v>
      </c>
      <c r="N212" s="878"/>
      <c r="O212" s="878"/>
      <c r="P212" s="878"/>
      <c r="Q212" s="878"/>
      <c r="R212" s="889">
        <f t="shared" si="139"/>
        <v>218656</v>
      </c>
      <c r="S212" s="880"/>
    </row>
    <row r="213" spans="1:19" s="875" customFormat="1" ht="15.75" customHeight="1" x14ac:dyDescent="0.2">
      <c r="A213" s="881">
        <v>10</v>
      </c>
      <c r="B213" s="895"/>
      <c r="C213" s="1934" t="s">
        <v>272</v>
      </c>
      <c r="D213" s="1848" t="s">
        <v>55</v>
      </c>
      <c r="E213" s="1407" t="s">
        <v>220</v>
      </c>
      <c r="F213" s="896"/>
      <c r="G213" s="896"/>
      <c r="H213" s="896" t="s">
        <v>43</v>
      </c>
      <c r="I213" s="896"/>
      <c r="J213" s="896"/>
      <c r="K213" s="896"/>
      <c r="L213" s="896"/>
      <c r="M213" s="1408"/>
      <c r="N213" s="878"/>
      <c r="O213" s="878"/>
      <c r="P213" s="878"/>
      <c r="Q213" s="878"/>
      <c r="R213" s="889"/>
      <c r="S213" s="880"/>
    </row>
    <row r="214" spans="1:19" s="875" customFormat="1" ht="15.75" customHeight="1" x14ac:dyDescent="0.2">
      <c r="A214" s="881"/>
      <c r="B214" s="894"/>
      <c r="C214" s="1941"/>
      <c r="D214" s="1849"/>
      <c r="E214" s="1027" t="s">
        <v>254</v>
      </c>
      <c r="F214" s="878">
        <v>300000</v>
      </c>
      <c r="G214" s="878">
        <v>66000</v>
      </c>
      <c r="H214" s="879">
        <v>1000000</v>
      </c>
      <c r="I214" s="879"/>
      <c r="J214" s="878"/>
      <c r="K214" s="878"/>
      <c r="L214" s="878"/>
      <c r="M214" s="888">
        <f>SUM(F214:L214)</f>
        <v>1366000</v>
      </c>
      <c r="N214" s="878"/>
      <c r="O214" s="878"/>
      <c r="P214" s="878"/>
      <c r="Q214" s="878"/>
      <c r="R214" s="889">
        <f>SUM(M214:Q214)</f>
        <v>1366000</v>
      </c>
      <c r="S214" s="880"/>
    </row>
    <row r="215" spans="1:19" s="875" customFormat="1" ht="15.75" customHeight="1" x14ac:dyDescent="0.2">
      <c r="A215" s="881"/>
      <c r="B215" s="894"/>
      <c r="C215" s="1941"/>
      <c r="D215" s="1849"/>
      <c r="E215" s="1027" t="s">
        <v>255</v>
      </c>
      <c r="F215" s="878">
        <v>200000</v>
      </c>
      <c r="G215" s="878">
        <v>0</v>
      </c>
      <c r="H215" s="879">
        <v>6057288</v>
      </c>
      <c r="I215" s="879"/>
      <c r="J215" s="878"/>
      <c r="K215" s="878"/>
      <c r="L215" s="878"/>
      <c r="M215" s="888">
        <f t="shared" ref="M215:M216" si="145">SUM(F215:L215)</f>
        <v>6257288</v>
      </c>
      <c r="N215" s="878"/>
      <c r="O215" s="878"/>
      <c r="P215" s="878"/>
      <c r="Q215" s="878"/>
      <c r="R215" s="889">
        <f t="shared" ref="R215:R216" si="146">SUM(M215:Q215)</f>
        <v>6257288</v>
      </c>
      <c r="S215" s="880"/>
    </row>
    <row r="216" spans="1:19" s="875" customFormat="1" ht="15.75" customHeight="1" x14ac:dyDescent="0.2">
      <c r="A216" s="881"/>
      <c r="B216" s="894"/>
      <c r="C216" s="1942"/>
      <c r="D216" s="1850"/>
      <c r="E216" s="1027" t="s">
        <v>256</v>
      </c>
      <c r="F216" s="878">
        <v>166441</v>
      </c>
      <c r="G216" s="878">
        <v>0</v>
      </c>
      <c r="H216" s="879">
        <v>6057288</v>
      </c>
      <c r="I216" s="879"/>
      <c r="J216" s="878"/>
      <c r="K216" s="878"/>
      <c r="L216" s="878"/>
      <c r="M216" s="888">
        <f t="shared" si="145"/>
        <v>6223729</v>
      </c>
      <c r="N216" s="878"/>
      <c r="O216" s="878"/>
      <c r="P216" s="878"/>
      <c r="Q216" s="878"/>
      <c r="R216" s="889">
        <f t="shared" si="146"/>
        <v>6223729</v>
      </c>
      <c r="S216" s="880"/>
    </row>
    <row r="217" spans="1:19" ht="15.75" customHeight="1" x14ac:dyDescent="0.15">
      <c r="A217" s="584"/>
      <c r="B217" s="594"/>
      <c r="C217" s="1934" t="s">
        <v>10</v>
      </c>
      <c r="D217" s="1950" t="s">
        <v>54</v>
      </c>
      <c r="E217" s="1409" t="s">
        <v>209</v>
      </c>
      <c r="F217" s="1006"/>
      <c r="G217" s="1006"/>
      <c r="H217" s="1007"/>
      <c r="I217" s="1007"/>
      <c r="J217" s="1006"/>
      <c r="K217" s="1006"/>
      <c r="L217" s="1006"/>
      <c r="M217" s="1410"/>
      <c r="N217" s="1006"/>
      <c r="O217" s="1006"/>
      <c r="P217" s="1006"/>
      <c r="Q217" s="1006"/>
      <c r="R217" s="1411"/>
      <c r="S217" s="1412"/>
    </row>
    <row r="218" spans="1:19" ht="15.75" customHeight="1" x14ac:dyDescent="0.2">
      <c r="A218" s="584"/>
      <c r="B218" s="594"/>
      <c r="C218" s="1941"/>
      <c r="D218" s="1951"/>
      <c r="E218" s="202" t="s">
        <v>254</v>
      </c>
      <c r="F218" s="1006">
        <f>F222+F234+F238+F242+F250+F258+F230+F226+F246+F254</f>
        <v>1764138</v>
      </c>
      <c r="G218" s="1006">
        <f t="shared" ref="G218:L218" si="147">G222+G234+G238+G242+G250+G258+G230+G226+G246+G254</f>
        <v>511444</v>
      </c>
      <c r="H218" s="1006">
        <f>H222+H234+H238+H242+H250+H258+H230+H226+H246+H254</f>
        <v>11661126</v>
      </c>
      <c r="I218" s="1006">
        <f t="shared" si="147"/>
        <v>0</v>
      </c>
      <c r="J218" s="1006">
        <f t="shared" si="147"/>
        <v>0</v>
      </c>
      <c r="K218" s="1006">
        <f t="shared" si="147"/>
        <v>0</v>
      </c>
      <c r="L218" s="1006">
        <f t="shared" si="147"/>
        <v>0</v>
      </c>
      <c r="M218" s="1006">
        <f>SUM(F218:L218)</f>
        <v>13936708</v>
      </c>
      <c r="N218" s="1006">
        <f>N222+N234+N238+N242+N250+N258+N230+N226+N246+N254</f>
        <v>414137407</v>
      </c>
      <c r="O218" s="1006">
        <f t="shared" ref="O218:Q218" si="148">O222+O234+O238+O242+O250+O258</f>
        <v>0</v>
      </c>
      <c r="P218" s="1006">
        <f t="shared" si="148"/>
        <v>0</v>
      </c>
      <c r="Q218" s="1006">
        <f t="shared" si="148"/>
        <v>0</v>
      </c>
      <c r="R218" s="1411">
        <f>SUM(M218:Q218)</f>
        <v>428074115</v>
      </c>
      <c r="S218" s="1412">
        <f>S222+S226+S230+S234+S238+S242+S246+S250+S254+S258</f>
        <v>0</v>
      </c>
    </row>
    <row r="219" spans="1:19" ht="15.75" customHeight="1" x14ac:dyDescent="0.2">
      <c r="A219" s="635">
        <v>11</v>
      </c>
      <c r="B219" s="636"/>
      <c r="C219" s="1941"/>
      <c r="D219" s="1951"/>
      <c r="E219" s="202" t="s">
        <v>255</v>
      </c>
      <c r="F219" s="1006">
        <f t="shared" ref="F219:L220" si="149">F223+F235+F239+F243+F251+F259+F231+F227+F247+F255</f>
        <v>17414367</v>
      </c>
      <c r="G219" s="1006">
        <f t="shared" si="149"/>
        <v>3590595</v>
      </c>
      <c r="H219" s="1006">
        <f t="shared" si="149"/>
        <v>12714721</v>
      </c>
      <c r="I219" s="1006">
        <f t="shared" si="149"/>
        <v>0</v>
      </c>
      <c r="J219" s="1006">
        <f t="shared" si="149"/>
        <v>0</v>
      </c>
      <c r="K219" s="1006">
        <f t="shared" si="149"/>
        <v>0</v>
      </c>
      <c r="L219" s="1006">
        <f t="shared" si="149"/>
        <v>0</v>
      </c>
      <c r="M219" s="1006">
        <f t="shared" ref="M219:M220" si="150">SUM(F219:L219)</f>
        <v>33719683</v>
      </c>
      <c r="N219" s="1006">
        <f>N223+N235+N239+N243+N251+N259+N231+N227+N247+N255</f>
        <v>408267662</v>
      </c>
      <c r="O219" s="1006">
        <f t="shared" ref="O219:Q220" si="151">O223+O235+O239+O243+O251+O259</f>
        <v>5231394</v>
      </c>
      <c r="P219" s="1006">
        <f t="shared" si="151"/>
        <v>0</v>
      </c>
      <c r="Q219" s="1006">
        <f t="shared" si="151"/>
        <v>0</v>
      </c>
      <c r="R219" s="1411">
        <f t="shared" ref="R219:R220" si="152">SUM(M219:Q219)</f>
        <v>447218739</v>
      </c>
      <c r="S219" s="1412">
        <f t="shared" ref="S219:S220" si="153">S223+S227+S231+S235+S239+S243+S247+S251+S255+S259</f>
        <v>2</v>
      </c>
    </row>
    <row r="220" spans="1:19" ht="15.75" customHeight="1" x14ac:dyDescent="0.2">
      <c r="A220" s="583"/>
      <c r="B220" s="636"/>
      <c r="C220" s="1942"/>
      <c r="D220" s="1952"/>
      <c r="E220" s="202" t="s">
        <v>256</v>
      </c>
      <c r="F220" s="1006">
        <f t="shared" si="149"/>
        <v>612074</v>
      </c>
      <c r="G220" s="1006">
        <f>G224+G236+G240+G244+G252+G260+G232+G228+G248+G256</f>
        <v>119354.23000000001</v>
      </c>
      <c r="H220" s="1006">
        <f t="shared" ref="H220" si="154">H224+H236+H240+H244+H252+H260+H232+H228+H248+H256</f>
        <v>10473147.760000002</v>
      </c>
      <c r="I220" s="1006">
        <f t="shared" si="149"/>
        <v>0</v>
      </c>
      <c r="J220" s="1006">
        <f t="shared" si="149"/>
        <v>0</v>
      </c>
      <c r="K220" s="1006">
        <f t="shared" si="149"/>
        <v>0</v>
      </c>
      <c r="L220" s="1006">
        <f t="shared" si="149"/>
        <v>0</v>
      </c>
      <c r="M220" s="1006">
        <f t="shared" si="150"/>
        <v>11204575.990000002</v>
      </c>
      <c r="N220" s="1006">
        <f>N224+N236+N240+N244+N252+N260+N232+N228+N248+N256</f>
        <v>135919971.19999999</v>
      </c>
      <c r="O220" s="1006">
        <f t="shared" si="151"/>
        <v>0</v>
      </c>
      <c r="P220" s="1006">
        <f t="shared" si="151"/>
        <v>0</v>
      </c>
      <c r="Q220" s="1006">
        <f t="shared" si="151"/>
        <v>0</v>
      </c>
      <c r="R220" s="1411">
        <f t="shared" si="152"/>
        <v>147124547.19</v>
      </c>
      <c r="S220" s="1412">
        <f t="shared" si="153"/>
        <v>2</v>
      </c>
    </row>
    <row r="221" spans="1:19" ht="15.75" customHeight="1" x14ac:dyDescent="0.2">
      <c r="A221" s="583"/>
      <c r="B221" s="636"/>
      <c r="C221" s="1934" t="s">
        <v>273</v>
      </c>
      <c r="D221" s="1848" t="s">
        <v>54</v>
      </c>
      <c r="E221" s="898" t="s">
        <v>226</v>
      </c>
      <c r="F221" s="886"/>
      <c r="G221" s="886"/>
      <c r="H221" s="886"/>
      <c r="I221" s="886"/>
      <c r="J221" s="886"/>
      <c r="K221" s="886"/>
      <c r="L221" s="886"/>
      <c r="M221" s="888"/>
      <c r="N221" s="886"/>
      <c r="O221" s="886"/>
      <c r="P221" s="886"/>
      <c r="Q221" s="886"/>
      <c r="R221" s="889"/>
      <c r="S221" s="885"/>
    </row>
    <row r="222" spans="1:19" ht="15.75" customHeight="1" x14ac:dyDescent="0.2">
      <c r="A222" s="583"/>
      <c r="B222" s="636"/>
      <c r="C222" s="1941"/>
      <c r="D222" s="1849"/>
      <c r="E222" s="1027" t="s">
        <v>254</v>
      </c>
      <c r="F222" s="886">
        <v>303931</v>
      </c>
      <c r="G222" s="886">
        <v>86069</v>
      </c>
      <c r="H222" s="886">
        <v>570000</v>
      </c>
      <c r="I222" s="886"/>
      <c r="J222" s="886"/>
      <c r="K222" s="886"/>
      <c r="L222" s="886"/>
      <c r="M222" s="888">
        <f>SUM(F222:L222)</f>
        <v>960000</v>
      </c>
      <c r="N222" s="886">
        <v>0</v>
      </c>
      <c r="O222" s="886"/>
      <c r="P222" s="886"/>
      <c r="Q222" s="886"/>
      <c r="R222" s="889">
        <f>SUM(M222:Q222)</f>
        <v>960000</v>
      </c>
      <c r="S222" s="885"/>
    </row>
    <row r="223" spans="1:19" ht="15.75" customHeight="1" x14ac:dyDescent="0.2">
      <c r="A223" s="637"/>
      <c r="B223" s="598">
        <v>1</v>
      </c>
      <c r="C223" s="1941"/>
      <c r="D223" s="1849"/>
      <c r="E223" s="1027" t="s">
        <v>255</v>
      </c>
      <c r="F223" s="886">
        <v>326360</v>
      </c>
      <c r="G223" s="886">
        <v>63640</v>
      </c>
      <c r="H223" s="887">
        <v>570000</v>
      </c>
      <c r="I223" s="887"/>
      <c r="J223" s="886"/>
      <c r="K223" s="886"/>
      <c r="L223" s="886"/>
      <c r="M223" s="888">
        <f t="shared" ref="M223:M224" si="155">SUM(F223:L223)</f>
        <v>960000</v>
      </c>
      <c r="N223" s="886">
        <v>0</v>
      </c>
      <c r="O223" s="886"/>
      <c r="P223" s="886"/>
      <c r="Q223" s="886"/>
      <c r="R223" s="889">
        <f>SUM(M223:Q223)</f>
        <v>960000</v>
      </c>
      <c r="S223" s="885"/>
    </row>
    <row r="224" spans="1:19" ht="15.75" customHeight="1" x14ac:dyDescent="0.2">
      <c r="A224" s="593"/>
      <c r="B224" s="594"/>
      <c r="C224" s="1942"/>
      <c r="D224" s="1850"/>
      <c r="E224" s="1027" t="s">
        <v>256</v>
      </c>
      <c r="F224" s="886">
        <f>125523+200837</f>
        <v>326360</v>
      </c>
      <c r="G224" s="886">
        <f>24477+39163</f>
        <v>63640</v>
      </c>
      <c r="H224" s="887">
        <f>171540+30000+79370</f>
        <v>280910</v>
      </c>
      <c r="I224" s="887"/>
      <c r="J224" s="886"/>
      <c r="K224" s="886"/>
      <c r="L224" s="886"/>
      <c r="M224" s="888">
        <f t="shared" si="155"/>
        <v>670910</v>
      </c>
      <c r="N224" s="886">
        <v>0</v>
      </c>
      <c r="O224" s="886"/>
      <c r="P224" s="886"/>
      <c r="Q224" s="886"/>
      <c r="R224" s="889">
        <f>SUM(M224:Q224)</f>
        <v>670910</v>
      </c>
      <c r="S224" s="885"/>
    </row>
    <row r="225" spans="1:19" s="875" customFormat="1" ht="15.75" customHeight="1" x14ac:dyDescent="0.2">
      <c r="A225" s="876"/>
      <c r="B225" s="877"/>
      <c r="C225" s="1187"/>
      <c r="D225" s="1848" t="s">
        <v>54</v>
      </c>
      <c r="E225" s="892" t="s">
        <v>657</v>
      </c>
      <c r="F225" s="886"/>
      <c r="G225" s="886"/>
      <c r="H225" s="887"/>
      <c r="I225" s="887"/>
      <c r="J225" s="886"/>
      <c r="K225" s="886"/>
      <c r="L225" s="886"/>
      <c r="M225" s="888"/>
      <c r="N225" s="886"/>
      <c r="O225" s="886"/>
      <c r="P225" s="886"/>
      <c r="Q225" s="886"/>
      <c r="R225" s="889">
        <f t="shared" ref="R225:R232" si="156">SUM(M225:Q225)</f>
        <v>0</v>
      </c>
      <c r="S225" s="885"/>
    </row>
    <row r="226" spans="1:19" s="875" customFormat="1" ht="15.75" customHeight="1" x14ac:dyDescent="0.2">
      <c r="A226" s="876"/>
      <c r="B226" s="877"/>
      <c r="C226" s="1187"/>
      <c r="D226" s="1849"/>
      <c r="E226" s="1027" t="s">
        <v>254</v>
      </c>
      <c r="F226" s="886"/>
      <c r="G226" s="886"/>
      <c r="H226" s="887">
        <v>0</v>
      </c>
      <c r="I226" s="887"/>
      <c r="J226" s="886"/>
      <c r="K226" s="886"/>
      <c r="L226" s="886"/>
      <c r="M226" s="888">
        <f>H226</f>
        <v>0</v>
      </c>
      <c r="N226" s="886">
        <f>'6 beruházások'!D13</f>
        <v>39235406</v>
      </c>
      <c r="O226" s="886"/>
      <c r="P226" s="886"/>
      <c r="Q226" s="886"/>
      <c r="R226" s="889">
        <f t="shared" si="156"/>
        <v>39235406</v>
      </c>
      <c r="S226" s="885"/>
    </row>
    <row r="227" spans="1:19" s="875" customFormat="1" ht="15.75" customHeight="1" x14ac:dyDescent="0.2">
      <c r="A227" s="876"/>
      <c r="B227" s="877"/>
      <c r="C227" s="1187"/>
      <c r="D227" s="1849"/>
      <c r="E227" s="1027" t="s">
        <v>255</v>
      </c>
      <c r="F227" s="886"/>
      <c r="G227" s="886"/>
      <c r="H227" s="887">
        <v>8018835</v>
      </c>
      <c r="I227" s="887"/>
      <c r="J227" s="886"/>
      <c r="K227" s="886"/>
      <c r="L227" s="886"/>
      <c r="M227" s="888">
        <f t="shared" ref="M227:M228" si="157">H227</f>
        <v>8018835</v>
      </c>
      <c r="N227" s="886">
        <f>'6 beruházások'!E13</f>
        <v>32390898</v>
      </c>
      <c r="O227" s="886"/>
      <c r="P227" s="886"/>
      <c r="Q227" s="886"/>
      <c r="R227" s="889">
        <f t="shared" si="156"/>
        <v>40409733</v>
      </c>
      <c r="S227" s="885"/>
    </row>
    <row r="228" spans="1:19" s="875" customFormat="1" ht="15.75" customHeight="1" x14ac:dyDescent="0.2">
      <c r="A228" s="876"/>
      <c r="B228" s="877"/>
      <c r="C228" s="1187"/>
      <c r="D228" s="1850"/>
      <c r="E228" s="1027" t="s">
        <v>256</v>
      </c>
      <c r="F228" s="886"/>
      <c r="G228" s="886"/>
      <c r="H228" s="887">
        <f>29699388*27%</f>
        <v>8018834.7600000007</v>
      </c>
      <c r="I228" s="887"/>
      <c r="J228" s="886"/>
      <c r="K228" s="886"/>
      <c r="L228" s="886"/>
      <c r="M228" s="888">
        <f t="shared" si="157"/>
        <v>8018834.7600000007</v>
      </c>
      <c r="N228" s="886">
        <f>'6 beruházások'!F13+'6 beruházások'!F58</f>
        <v>32390555</v>
      </c>
      <c r="O228" s="886"/>
      <c r="P228" s="886"/>
      <c r="Q228" s="886"/>
      <c r="R228" s="889">
        <f t="shared" si="156"/>
        <v>40409389.759999998</v>
      </c>
      <c r="S228" s="885"/>
    </row>
    <row r="229" spans="1:19" s="875" customFormat="1" ht="15.75" customHeight="1" x14ac:dyDescent="0.2">
      <c r="A229" s="876"/>
      <c r="B229" s="877"/>
      <c r="C229" s="1187"/>
      <c r="D229" s="1184"/>
      <c r="E229" s="1027" t="s">
        <v>669</v>
      </c>
      <c r="F229" s="886"/>
      <c r="G229" s="886"/>
      <c r="H229" s="887"/>
      <c r="I229" s="887"/>
      <c r="J229" s="886"/>
      <c r="K229" s="886"/>
      <c r="L229" s="886"/>
      <c r="M229" s="888"/>
      <c r="N229" s="886"/>
      <c r="O229" s="886"/>
      <c r="P229" s="886"/>
      <c r="Q229" s="886"/>
      <c r="R229" s="889">
        <f t="shared" si="156"/>
        <v>0</v>
      </c>
      <c r="S229" s="885"/>
    </row>
    <row r="230" spans="1:19" s="875" customFormat="1" ht="15.75" customHeight="1" x14ac:dyDescent="0.2">
      <c r="A230" s="876"/>
      <c r="B230" s="877"/>
      <c r="C230" s="1187"/>
      <c r="D230" s="1184"/>
      <c r="E230" s="1027" t="s">
        <v>254</v>
      </c>
      <c r="F230" s="886">
        <v>258750</v>
      </c>
      <c r="G230" s="886">
        <v>116250</v>
      </c>
      <c r="H230" s="887">
        <v>2869710</v>
      </c>
      <c r="I230" s="887"/>
      <c r="J230" s="886"/>
      <c r="K230" s="886"/>
      <c r="L230" s="886"/>
      <c r="M230" s="888"/>
      <c r="N230" s="886">
        <f>'6 beruházások'!D45</f>
        <v>71755290</v>
      </c>
      <c r="O230" s="886"/>
      <c r="P230" s="886"/>
      <c r="Q230" s="886"/>
      <c r="R230" s="889">
        <f t="shared" si="156"/>
        <v>71755290</v>
      </c>
      <c r="S230" s="885"/>
    </row>
    <row r="231" spans="1:19" s="875" customFormat="1" ht="15.75" customHeight="1" x14ac:dyDescent="0.2">
      <c r="A231" s="876"/>
      <c r="B231" s="877"/>
      <c r="C231" s="1187"/>
      <c r="D231" s="1184"/>
      <c r="E231" s="1027" t="s">
        <v>255</v>
      </c>
      <c r="F231" s="886">
        <v>258750</v>
      </c>
      <c r="G231" s="886">
        <v>116250</v>
      </c>
      <c r="H231" s="887">
        <f>2869710-693920</f>
        <v>2175790</v>
      </c>
      <c r="I231" s="887"/>
      <c r="J231" s="886"/>
      <c r="K231" s="886"/>
      <c r="L231" s="886"/>
      <c r="M231" s="888"/>
      <c r="N231" s="886">
        <f>'6 beruházások'!E45</f>
        <v>71755290</v>
      </c>
      <c r="O231" s="886"/>
      <c r="P231" s="886"/>
      <c r="Q231" s="886"/>
      <c r="R231" s="889">
        <f t="shared" si="156"/>
        <v>71755290</v>
      </c>
      <c r="S231" s="885"/>
    </row>
    <row r="232" spans="1:19" s="875" customFormat="1" ht="15.75" customHeight="1" x14ac:dyDescent="0.2">
      <c r="A232" s="876"/>
      <c r="B232" s="877"/>
      <c r="C232" s="1187"/>
      <c r="D232" s="1184"/>
      <c r="E232" s="1027" t="s">
        <v>256</v>
      </c>
      <c r="F232" s="886"/>
      <c r="G232" s="886"/>
      <c r="H232" s="887">
        <v>750000</v>
      </c>
      <c r="I232" s="887"/>
      <c r="J232" s="886"/>
      <c r="K232" s="886"/>
      <c r="L232" s="886"/>
      <c r="M232" s="888"/>
      <c r="N232" s="886">
        <f>'6 beruházások'!F45</f>
        <v>2553850</v>
      </c>
      <c r="O232" s="886"/>
      <c r="P232" s="886"/>
      <c r="Q232" s="886"/>
      <c r="R232" s="889">
        <f t="shared" si="156"/>
        <v>2553850</v>
      </c>
      <c r="S232" s="885"/>
    </row>
    <row r="233" spans="1:19" ht="15.75" customHeight="1" x14ac:dyDescent="0.2">
      <c r="A233" s="593"/>
      <c r="B233" s="594"/>
      <c r="C233" s="1934" t="s">
        <v>274</v>
      </c>
      <c r="D233" s="1848" t="s">
        <v>54</v>
      </c>
      <c r="E233" s="1413" t="s">
        <v>227</v>
      </c>
      <c r="F233" s="886"/>
      <c r="G233" s="886"/>
      <c r="H233" s="887"/>
      <c r="I233" s="887"/>
      <c r="J233" s="886"/>
      <c r="K233" s="886"/>
      <c r="L233" s="886"/>
      <c r="M233" s="888"/>
      <c r="N233" s="886"/>
      <c r="O233" s="886"/>
      <c r="P233" s="886"/>
      <c r="Q233" s="886"/>
      <c r="R233" s="889"/>
      <c r="S233" s="885"/>
    </row>
    <row r="234" spans="1:19" ht="15.75" customHeight="1" x14ac:dyDescent="0.2">
      <c r="A234" s="593"/>
      <c r="B234" s="594"/>
      <c r="C234" s="1941"/>
      <c r="D234" s="1849"/>
      <c r="E234" s="1027" t="s">
        <v>254</v>
      </c>
      <c r="F234" s="886">
        <v>426094</v>
      </c>
      <c r="G234" s="886">
        <v>106524</v>
      </c>
      <c r="H234" s="887">
        <v>2760096</v>
      </c>
      <c r="I234" s="887"/>
      <c r="J234" s="886"/>
      <c r="K234" s="886"/>
      <c r="L234" s="886"/>
      <c r="M234" s="888">
        <f>SUM(F234:L234)</f>
        <v>3292714</v>
      </c>
      <c r="N234" s="886">
        <f>'6 beruházások'!D61</f>
        <v>95389098</v>
      </c>
      <c r="O234" s="886">
        <v>0</v>
      </c>
      <c r="P234" s="886"/>
      <c r="Q234" s="886"/>
      <c r="R234" s="889">
        <f>SUM(M234:Q234)</f>
        <v>98681812</v>
      </c>
      <c r="S234" s="885"/>
    </row>
    <row r="235" spans="1:19" ht="15.75" customHeight="1" x14ac:dyDescent="0.2">
      <c r="A235" s="593"/>
      <c r="B235" s="594">
        <f>B223+1</f>
        <v>2</v>
      </c>
      <c r="C235" s="1941"/>
      <c r="D235" s="1849"/>
      <c r="E235" s="1027" t="s">
        <v>255</v>
      </c>
      <c r="F235" s="886">
        <v>426094</v>
      </c>
      <c r="G235" s="886">
        <v>106524</v>
      </c>
      <c r="H235" s="887">
        <f>2760096+3175000-3175000-810000</f>
        <v>1950096</v>
      </c>
      <c r="I235" s="887"/>
      <c r="J235" s="886"/>
      <c r="K235" s="886"/>
      <c r="L235" s="886"/>
      <c r="M235" s="888">
        <f t="shared" ref="M235:M236" si="158">SUM(F235:L235)</f>
        <v>2482714</v>
      </c>
      <c r="N235" s="886">
        <f>'6 beruházások'!E61</f>
        <v>96224182</v>
      </c>
      <c r="O235" s="886">
        <v>5231394</v>
      </c>
      <c r="P235" s="886"/>
      <c r="Q235" s="886"/>
      <c r="R235" s="889">
        <f t="shared" ref="R235:R244" si="159">SUM(M235:Q235)</f>
        <v>103938290</v>
      </c>
      <c r="S235" s="885"/>
    </row>
    <row r="236" spans="1:19" ht="15.75" customHeight="1" x14ac:dyDescent="0.2">
      <c r="A236" s="593"/>
      <c r="B236" s="594"/>
      <c r="C236" s="1942"/>
      <c r="D236" s="1850"/>
      <c r="E236" s="1027" t="s">
        <v>256</v>
      </c>
      <c r="F236" s="934">
        <v>0</v>
      </c>
      <c r="G236" s="1005">
        <v>0</v>
      </c>
      <c r="H236" s="887">
        <v>1423403</v>
      </c>
      <c r="I236" s="887"/>
      <c r="J236" s="886"/>
      <c r="K236" s="886"/>
      <c r="L236" s="886"/>
      <c r="M236" s="888">
        <f t="shared" si="158"/>
        <v>1423403</v>
      </c>
      <c r="N236" s="886">
        <f>'6 beruházások'!F61</f>
        <v>96224182</v>
      </c>
      <c r="O236" s="886">
        <v>0</v>
      </c>
      <c r="P236" s="886"/>
      <c r="Q236" s="886"/>
      <c r="R236" s="889">
        <f t="shared" si="159"/>
        <v>97647585</v>
      </c>
      <c r="S236" s="885"/>
    </row>
    <row r="237" spans="1:19" ht="15.75" customHeight="1" x14ac:dyDescent="0.2">
      <c r="A237" s="593"/>
      <c r="B237" s="594"/>
      <c r="C237" s="1934" t="s">
        <v>275</v>
      </c>
      <c r="D237" s="1848" t="s">
        <v>54</v>
      </c>
      <c r="E237" s="1413" t="s">
        <v>228</v>
      </c>
      <c r="F237" s="886"/>
      <c r="G237" s="886"/>
      <c r="H237" s="887"/>
      <c r="I237" s="887"/>
      <c r="J237" s="886"/>
      <c r="K237" s="886"/>
      <c r="L237" s="886"/>
      <c r="M237" s="888"/>
      <c r="N237" s="886"/>
      <c r="O237" s="886"/>
      <c r="P237" s="886"/>
      <c r="Q237" s="886"/>
      <c r="R237" s="889"/>
      <c r="S237" s="885"/>
    </row>
    <row r="238" spans="1:19" ht="15.75" customHeight="1" x14ac:dyDescent="0.2">
      <c r="A238" s="593"/>
      <c r="B238" s="594"/>
      <c r="C238" s="1941"/>
      <c r="D238" s="1849"/>
      <c r="E238" s="1027" t="s">
        <v>254</v>
      </c>
      <c r="F238" s="886">
        <v>567571</v>
      </c>
      <c r="G238" s="886">
        <v>141893</v>
      </c>
      <c r="H238" s="887">
        <v>3717320</v>
      </c>
      <c r="I238" s="887"/>
      <c r="J238" s="886"/>
      <c r="K238" s="886"/>
      <c r="L238" s="886"/>
      <c r="M238" s="888">
        <f>SUM(F238:L238)</f>
        <v>4426784</v>
      </c>
      <c r="N238" s="886">
        <f>'6 beruházások'!D48</f>
        <v>134777466</v>
      </c>
      <c r="O238" s="886"/>
      <c r="P238" s="886"/>
      <c r="Q238" s="886"/>
      <c r="R238" s="889">
        <f t="shared" si="159"/>
        <v>139204250</v>
      </c>
      <c r="S238" s="885"/>
    </row>
    <row r="239" spans="1:19" ht="15.75" customHeight="1" x14ac:dyDescent="0.2">
      <c r="A239" s="593"/>
      <c r="B239" s="594">
        <f>B235+1</f>
        <v>3</v>
      </c>
      <c r="C239" s="1941"/>
      <c r="D239" s="1849"/>
      <c r="E239" s="1027" t="s">
        <v>255</v>
      </c>
      <c r="F239" s="886">
        <v>567571</v>
      </c>
      <c r="G239" s="886">
        <v>141893</v>
      </c>
      <c r="H239" s="887">
        <v>0</v>
      </c>
      <c r="I239" s="887"/>
      <c r="J239" s="886"/>
      <c r="K239" s="886"/>
      <c r="L239" s="886"/>
      <c r="M239" s="888">
        <f t="shared" ref="M239:M240" si="160">SUM(F239:L239)</f>
        <v>709464</v>
      </c>
      <c r="N239" s="886">
        <f>'6 beruházások'!E48</f>
        <v>134777466</v>
      </c>
      <c r="O239" s="886"/>
      <c r="P239" s="886"/>
      <c r="Q239" s="886"/>
      <c r="R239" s="889">
        <f t="shared" si="159"/>
        <v>135486930</v>
      </c>
      <c r="S239" s="885"/>
    </row>
    <row r="240" spans="1:19" ht="15.75" customHeight="1" x14ac:dyDescent="0.2">
      <c r="A240" s="593"/>
      <c r="B240" s="594"/>
      <c r="C240" s="1942"/>
      <c r="D240" s="1850"/>
      <c r="E240" s="1027" t="s">
        <v>256</v>
      </c>
      <c r="F240" s="886">
        <v>0</v>
      </c>
      <c r="G240" s="886">
        <v>0</v>
      </c>
      <c r="H240" s="887">
        <v>0</v>
      </c>
      <c r="I240" s="887"/>
      <c r="J240" s="886"/>
      <c r="K240" s="886"/>
      <c r="L240" s="886"/>
      <c r="M240" s="888">
        <f t="shared" si="160"/>
        <v>0</v>
      </c>
      <c r="N240" s="886">
        <f>'6 beruházások'!F48</f>
        <v>4751384.2</v>
      </c>
      <c r="O240" s="886"/>
      <c r="P240" s="886"/>
      <c r="Q240" s="886"/>
      <c r="R240" s="889">
        <f t="shared" si="159"/>
        <v>4751384.2</v>
      </c>
      <c r="S240" s="885"/>
    </row>
    <row r="241" spans="1:19" ht="15.75" customHeight="1" x14ac:dyDescent="0.2">
      <c r="A241" s="593"/>
      <c r="B241" s="594"/>
      <c r="C241" s="1934" t="s">
        <v>276</v>
      </c>
      <c r="D241" s="1848" t="s">
        <v>54</v>
      </c>
      <c r="E241" s="1414" t="s">
        <v>229</v>
      </c>
      <c r="F241" s="886"/>
      <c r="G241" s="886"/>
      <c r="H241" s="887"/>
      <c r="I241" s="887"/>
      <c r="J241" s="886"/>
      <c r="K241" s="886"/>
      <c r="L241" s="886"/>
      <c r="M241" s="888"/>
      <c r="N241" s="886"/>
      <c r="O241" s="886"/>
      <c r="P241" s="886"/>
      <c r="Q241" s="886"/>
      <c r="R241" s="889"/>
      <c r="S241" s="885"/>
    </row>
    <row r="242" spans="1:19" ht="15.75" customHeight="1" x14ac:dyDescent="0.2">
      <c r="A242" s="593"/>
      <c r="B242" s="594"/>
      <c r="C242" s="1941"/>
      <c r="D242" s="1849"/>
      <c r="E242" s="1027" t="s">
        <v>254</v>
      </c>
      <c r="F242" s="886">
        <v>207792</v>
      </c>
      <c r="G242" s="886">
        <v>60708</v>
      </c>
      <c r="H242" s="887">
        <v>1744000</v>
      </c>
      <c r="I242" s="887"/>
      <c r="J242" s="886"/>
      <c r="K242" s="886"/>
      <c r="L242" s="886"/>
      <c r="M242" s="888"/>
      <c r="N242" s="886">
        <f>'6 beruházások'!D49+'6 beruházások'!D60</f>
        <v>50076500</v>
      </c>
      <c r="O242" s="886"/>
      <c r="P242" s="886"/>
      <c r="Q242" s="886"/>
      <c r="R242" s="889">
        <f t="shared" si="159"/>
        <v>50076500</v>
      </c>
      <c r="S242" s="885"/>
    </row>
    <row r="243" spans="1:19" ht="15.75" customHeight="1" x14ac:dyDescent="0.2">
      <c r="A243" s="593"/>
      <c r="B243" s="594">
        <f>B239+1</f>
        <v>4</v>
      </c>
      <c r="C243" s="1941"/>
      <c r="D243" s="1849"/>
      <c r="E243" s="1027" t="s">
        <v>255</v>
      </c>
      <c r="F243" s="886">
        <v>207792</v>
      </c>
      <c r="G243" s="886">
        <v>60708</v>
      </c>
      <c r="H243" s="887">
        <v>0</v>
      </c>
      <c r="I243" s="887"/>
      <c r="J243" s="886"/>
      <c r="K243" s="886"/>
      <c r="L243" s="886"/>
      <c r="M243" s="888">
        <f t="shared" ref="M243:M272" si="161">SUM(F243:L243)</f>
        <v>268500</v>
      </c>
      <c r="N243" s="886">
        <f>'6 beruházások'!E49+'6 beruházások'!E60</f>
        <v>49241416</v>
      </c>
      <c r="O243" s="886"/>
      <c r="P243" s="886"/>
      <c r="Q243" s="886"/>
      <c r="R243" s="889">
        <f t="shared" si="159"/>
        <v>49509916</v>
      </c>
      <c r="S243" s="885"/>
    </row>
    <row r="244" spans="1:19" ht="15.75" customHeight="1" x14ac:dyDescent="0.2">
      <c r="A244" s="593"/>
      <c r="B244" s="594"/>
      <c r="C244" s="1942"/>
      <c r="D244" s="1850"/>
      <c r="E244" s="1027" t="s">
        <v>256</v>
      </c>
      <c r="F244" s="886">
        <v>0</v>
      </c>
      <c r="G244" s="886">
        <v>0</v>
      </c>
      <c r="H244" s="887">
        <v>0</v>
      </c>
      <c r="I244" s="887"/>
      <c r="J244" s="886"/>
      <c r="K244" s="886"/>
      <c r="L244" s="886"/>
      <c r="M244" s="888"/>
      <c r="N244" s="886">
        <f>'6 beruházások'!F60+'6 beruházások'!F49</f>
        <v>0</v>
      </c>
      <c r="O244" s="886"/>
      <c r="P244" s="886"/>
      <c r="Q244" s="886"/>
      <c r="R244" s="889">
        <f t="shared" si="159"/>
        <v>0</v>
      </c>
      <c r="S244" s="885"/>
    </row>
    <row r="245" spans="1:19" s="875" customFormat="1" ht="15.75" customHeight="1" x14ac:dyDescent="0.2">
      <c r="A245" s="876"/>
      <c r="B245" s="877"/>
      <c r="C245" s="1187"/>
      <c r="D245" s="1184"/>
      <c r="E245" s="1027" t="s">
        <v>678</v>
      </c>
      <c r="F245" s="886"/>
      <c r="G245" s="886"/>
      <c r="H245" s="887"/>
      <c r="I245" s="887"/>
      <c r="J245" s="886"/>
      <c r="K245" s="886"/>
      <c r="L245" s="886"/>
      <c r="M245" s="888"/>
      <c r="N245" s="886"/>
      <c r="O245" s="886"/>
      <c r="P245" s="886"/>
      <c r="Q245" s="886"/>
      <c r="R245" s="889"/>
      <c r="S245" s="885"/>
    </row>
    <row r="246" spans="1:19" s="875" customFormat="1" ht="15.75" customHeight="1" x14ac:dyDescent="0.2">
      <c r="A246" s="876"/>
      <c r="B246" s="877"/>
      <c r="C246" s="1187" t="s">
        <v>277</v>
      </c>
      <c r="D246" s="1184" t="s">
        <v>54</v>
      </c>
      <c r="E246" s="1027" t="s">
        <v>254</v>
      </c>
      <c r="F246" s="886">
        <v>0</v>
      </c>
      <c r="G246" s="886">
        <v>0</v>
      </c>
      <c r="H246" s="887">
        <v>0</v>
      </c>
      <c r="I246" s="887"/>
      <c r="J246" s="886"/>
      <c r="K246" s="886"/>
      <c r="L246" s="886"/>
      <c r="M246" s="888">
        <f>SUM(F246:L246)</f>
        <v>0</v>
      </c>
      <c r="N246" s="886">
        <f>SUM(F246:M246)</f>
        <v>0</v>
      </c>
      <c r="O246" s="886">
        <v>0</v>
      </c>
      <c r="P246" s="886"/>
      <c r="Q246" s="886"/>
      <c r="R246" s="889">
        <f>M246+N246</f>
        <v>0</v>
      </c>
      <c r="S246" s="885">
        <v>0</v>
      </c>
    </row>
    <row r="247" spans="1:19" s="875" customFormat="1" ht="15.75" customHeight="1" x14ac:dyDescent="0.2">
      <c r="A247" s="876"/>
      <c r="B247" s="877"/>
      <c r="C247" s="1187"/>
      <c r="D247" s="1184"/>
      <c r="E247" s="1027" t="s">
        <v>255</v>
      </c>
      <c r="F247" s="886">
        <f>892800+14735000</f>
        <v>15627800</v>
      </c>
      <c r="G247" s="886">
        <f>161280+2940300</f>
        <v>3101580</v>
      </c>
      <c r="H247" s="887">
        <v>0</v>
      </c>
      <c r="I247" s="887"/>
      <c r="J247" s="886"/>
      <c r="K247" s="886"/>
      <c r="L247" s="886"/>
      <c r="M247" s="888">
        <f t="shared" ref="M247:M248" si="162">SUM(F247:L247)</f>
        <v>18729380</v>
      </c>
      <c r="N247" s="886">
        <f>'6 beruházások'!E54</f>
        <v>974763</v>
      </c>
      <c r="O247" s="886"/>
      <c r="P247" s="886"/>
      <c r="Q247" s="886"/>
      <c r="R247" s="889">
        <f t="shared" ref="R247:R248" si="163">M247+N247</f>
        <v>19704143</v>
      </c>
      <c r="S247" s="885">
        <v>2</v>
      </c>
    </row>
    <row r="248" spans="1:19" s="875" customFormat="1" ht="15.75" customHeight="1" x14ac:dyDescent="0.2">
      <c r="A248" s="876"/>
      <c r="B248" s="877"/>
      <c r="C248" s="1187"/>
      <c r="D248" s="1184"/>
      <c r="E248" s="1027" t="s">
        <v>256</v>
      </c>
      <c r="F248" s="886">
        <f>2*142857</f>
        <v>285714</v>
      </c>
      <c r="G248" s="886">
        <f>F248*19.5%</f>
        <v>55714.23</v>
      </c>
      <c r="H248" s="887">
        <v>0</v>
      </c>
      <c r="I248" s="887"/>
      <c r="J248" s="886"/>
      <c r="K248" s="886"/>
      <c r="L248" s="886"/>
      <c r="M248" s="888">
        <f t="shared" si="162"/>
        <v>341428.23</v>
      </c>
      <c r="N248" s="886">
        <v>0</v>
      </c>
      <c r="O248" s="886">
        <f>'6 beruházások'!F54</f>
        <v>0</v>
      </c>
      <c r="P248" s="886"/>
      <c r="Q248" s="886"/>
      <c r="R248" s="889">
        <f t="shared" si="163"/>
        <v>341428.23</v>
      </c>
      <c r="S248" s="885">
        <v>2</v>
      </c>
    </row>
    <row r="249" spans="1:19" ht="15.75" customHeight="1" x14ac:dyDescent="0.2">
      <c r="A249" s="593"/>
      <c r="B249" s="594"/>
      <c r="C249" s="1934" t="s">
        <v>278</v>
      </c>
      <c r="D249" s="1848" t="s">
        <v>54</v>
      </c>
      <c r="E249" s="1413" t="s">
        <v>672</v>
      </c>
      <c r="F249" s="886"/>
      <c r="G249" s="886"/>
      <c r="H249" s="887"/>
      <c r="I249" s="887"/>
      <c r="J249" s="886"/>
      <c r="K249" s="886"/>
      <c r="L249" s="886"/>
      <c r="M249" s="888"/>
      <c r="N249" s="886"/>
      <c r="O249" s="886"/>
      <c r="P249" s="886"/>
      <c r="Q249" s="886"/>
      <c r="R249" s="889"/>
      <c r="S249" s="885"/>
    </row>
    <row r="250" spans="1:19" ht="15.75" customHeight="1" x14ac:dyDescent="0.2">
      <c r="A250" s="593"/>
      <c r="B250" s="594"/>
      <c r="C250" s="1941"/>
      <c r="D250" s="1849"/>
      <c r="E250" s="1027" t="s">
        <v>254</v>
      </c>
      <c r="F250" s="886">
        <v>0</v>
      </c>
      <c r="G250" s="886">
        <v>0</v>
      </c>
      <c r="H250" s="887">
        <v>0</v>
      </c>
      <c r="I250" s="887"/>
      <c r="J250" s="886"/>
      <c r="K250" s="886"/>
      <c r="L250" s="886"/>
      <c r="M250" s="888">
        <f>SUM(F250:L250)</f>
        <v>0</v>
      </c>
      <c r="N250" s="886">
        <f>'6 beruházások'!D51</f>
        <v>8769066</v>
      </c>
      <c r="O250" s="886"/>
      <c r="P250" s="886"/>
      <c r="Q250" s="886"/>
      <c r="R250" s="889">
        <f>SUM(M250:Q250)</f>
        <v>8769066</v>
      </c>
      <c r="S250" s="885"/>
    </row>
    <row r="251" spans="1:19" ht="15.75" customHeight="1" x14ac:dyDescent="0.2">
      <c r="A251" s="593"/>
      <c r="B251" s="594">
        <f>B243+1</f>
        <v>5</v>
      </c>
      <c r="C251" s="1941"/>
      <c r="D251" s="1849"/>
      <c r="E251" s="1027" t="s">
        <v>255</v>
      </c>
      <c r="F251" s="886"/>
      <c r="G251" s="886"/>
      <c r="H251" s="887">
        <v>0</v>
      </c>
      <c r="I251" s="887"/>
      <c r="J251" s="886"/>
      <c r="K251" s="886"/>
      <c r="L251" s="886"/>
      <c r="M251" s="888">
        <f t="shared" ref="M251:M252" si="164">SUM(F251:L251)</f>
        <v>0</v>
      </c>
      <c r="N251" s="886">
        <f>'6 beruházások'!E51</f>
        <v>8769066</v>
      </c>
      <c r="O251" s="886"/>
      <c r="P251" s="886"/>
      <c r="Q251" s="886"/>
      <c r="R251" s="889">
        <f t="shared" ref="R251:R252" si="165">SUM(M251:Q251)</f>
        <v>8769066</v>
      </c>
      <c r="S251" s="885"/>
    </row>
    <row r="252" spans="1:19" ht="15.75" customHeight="1" x14ac:dyDescent="0.2">
      <c r="A252" s="593"/>
      <c r="B252" s="594"/>
      <c r="C252" s="1942"/>
      <c r="D252" s="1850"/>
      <c r="E252" s="1027" t="s">
        <v>256</v>
      </c>
      <c r="F252" s="886"/>
      <c r="G252" s="886"/>
      <c r="H252" s="887">
        <v>0</v>
      </c>
      <c r="I252" s="887"/>
      <c r="J252" s="886"/>
      <c r="K252" s="886"/>
      <c r="L252" s="886"/>
      <c r="M252" s="888">
        <f t="shared" si="164"/>
        <v>0</v>
      </c>
      <c r="N252" s="886">
        <f>'6 beruházások'!F51</f>
        <v>0</v>
      </c>
      <c r="O252" s="886"/>
      <c r="P252" s="886"/>
      <c r="Q252" s="886"/>
      <c r="R252" s="889">
        <f t="shared" si="165"/>
        <v>0</v>
      </c>
      <c r="S252" s="885"/>
    </row>
    <row r="253" spans="1:19" s="875" customFormat="1" ht="27" customHeight="1" x14ac:dyDescent="0.2">
      <c r="A253" s="876"/>
      <c r="B253" s="877"/>
      <c r="C253" s="1934" t="s">
        <v>674</v>
      </c>
      <c r="D253" s="1848" t="s">
        <v>54</v>
      </c>
      <c r="E253" s="1135" t="s">
        <v>675</v>
      </c>
      <c r="F253" s="886"/>
      <c r="G253" s="886"/>
      <c r="H253" s="887"/>
      <c r="I253" s="887"/>
      <c r="J253" s="886"/>
      <c r="K253" s="886"/>
      <c r="L253" s="886"/>
      <c r="M253" s="888"/>
      <c r="N253" s="886"/>
      <c r="O253" s="886"/>
      <c r="P253" s="886"/>
      <c r="Q253" s="886"/>
      <c r="R253" s="889"/>
      <c r="S253" s="885"/>
    </row>
    <row r="254" spans="1:19" s="875" customFormat="1" ht="15.75" customHeight="1" x14ac:dyDescent="0.2">
      <c r="A254" s="876"/>
      <c r="B254" s="877"/>
      <c r="C254" s="1941"/>
      <c r="D254" s="1849"/>
      <c r="E254" s="1027" t="s">
        <v>254</v>
      </c>
      <c r="F254" s="886"/>
      <c r="G254" s="886"/>
      <c r="H254" s="887"/>
      <c r="I254" s="887"/>
      <c r="J254" s="886"/>
      <c r="K254" s="886"/>
      <c r="L254" s="886"/>
      <c r="M254" s="888"/>
      <c r="N254" s="886">
        <f>'6 beruházások'!D52</f>
        <v>750000</v>
      </c>
      <c r="O254" s="886"/>
      <c r="P254" s="886"/>
      <c r="Q254" s="886"/>
      <c r="R254" s="889"/>
      <c r="S254" s="885"/>
    </row>
    <row r="255" spans="1:19" s="875" customFormat="1" ht="15.75" customHeight="1" x14ac:dyDescent="0.2">
      <c r="A255" s="876"/>
      <c r="B255" s="877"/>
      <c r="C255" s="1941"/>
      <c r="D255" s="1849"/>
      <c r="E255" s="1027" t="s">
        <v>255</v>
      </c>
      <c r="F255" s="886"/>
      <c r="G255" s="886"/>
      <c r="H255" s="887"/>
      <c r="I255" s="887"/>
      <c r="J255" s="886"/>
      <c r="K255" s="886"/>
      <c r="L255" s="886"/>
      <c r="M255" s="888"/>
      <c r="N255" s="886">
        <f>'6 beruházások'!E52</f>
        <v>750000</v>
      </c>
      <c r="O255" s="886"/>
      <c r="P255" s="886"/>
      <c r="Q255" s="886"/>
      <c r="R255" s="889"/>
      <c r="S255" s="885"/>
    </row>
    <row r="256" spans="1:19" s="875" customFormat="1" ht="15.75" customHeight="1" x14ac:dyDescent="0.2">
      <c r="A256" s="876"/>
      <c r="B256" s="877"/>
      <c r="C256" s="1942"/>
      <c r="D256" s="1850"/>
      <c r="E256" s="1027" t="s">
        <v>256</v>
      </c>
      <c r="F256" s="886"/>
      <c r="G256" s="886"/>
      <c r="H256" s="887"/>
      <c r="I256" s="887"/>
      <c r="J256" s="886"/>
      <c r="K256" s="886"/>
      <c r="L256" s="886"/>
      <c r="M256" s="888"/>
      <c r="N256" s="886">
        <f>'6 beruházások'!F52</f>
        <v>0</v>
      </c>
      <c r="O256" s="886"/>
      <c r="P256" s="886"/>
      <c r="Q256" s="886"/>
      <c r="R256" s="889"/>
      <c r="S256" s="885"/>
    </row>
    <row r="257" spans="1:19" ht="27.75" customHeight="1" x14ac:dyDescent="0.2">
      <c r="A257" s="593"/>
      <c r="B257" s="594"/>
      <c r="C257" s="1934" t="s">
        <v>677</v>
      </c>
      <c r="D257" s="1848" t="s">
        <v>54</v>
      </c>
      <c r="E257" s="374" t="s">
        <v>673</v>
      </c>
      <c r="F257" s="886"/>
      <c r="G257" s="886"/>
      <c r="H257" s="887"/>
      <c r="I257" s="887"/>
      <c r="J257" s="886"/>
      <c r="K257" s="886"/>
      <c r="L257" s="886"/>
      <c r="M257" s="888"/>
      <c r="N257" s="886"/>
      <c r="O257" s="886"/>
      <c r="P257" s="886"/>
      <c r="Q257" s="886"/>
      <c r="R257" s="889"/>
      <c r="S257" s="885"/>
    </row>
    <row r="258" spans="1:19" ht="15.75" customHeight="1" x14ac:dyDescent="0.2">
      <c r="A258" s="593"/>
      <c r="B258" s="594"/>
      <c r="C258" s="1941"/>
      <c r="D258" s="1849"/>
      <c r="E258" s="1027" t="s">
        <v>254</v>
      </c>
      <c r="F258" s="886"/>
      <c r="G258" s="886"/>
      <c r="H258" s="887">
        <v>0</v>
      </c>
      <c r="I258" s="887"/>
      <c r="J258" s="886"/>
      <c r="K258" s="886"/>
      <c r="L258" s="886"/>
      <c r="M258" s="888">
        <f>SUM(F258:L258)</f>
        <v>0</v>
      </c>
      <c r="N258" s="886">
        <f>'6 beruházások'!D53</f>
        <v>13384581</v>
      </c>
      <c r="O258" s="886"/>
      <c r="P258" s="886"/>
      <c r="Q258" s="886"/>
      <c r="R258" s="889">
        <f>SUM(M258:Q258)</f>
        <v>13384581</v>
      </c>
      <c r="S258" s="885"/>
    </row>
    <row r="259" spans="1:19" ht="15.75" customHeight="1" x14ac:dyDescent="0.2">
      <c r="A259" s="593"/>
      <c r="B259" s="594">
        <f t="shared" ref="B259" si="166">B251+1</f>
        <v>6</v>
      </c>
      <c r="C259" s="1941"/>
      <c r="D259" s="1849"/>
      <c r="E259" s="1027" t="s">
        <v>255</v>
      </c>
      <c r="F259" s="886"/>
      <c r="G259" s="886"/>
      <c r="H259" s="887">
        <v>0</v>
      </c>
      <c r="I259" s="887"/>
      <c r="J259" s="886"/>
      <c r="K259" s="886"/>
      <c r="L259" s="886"/>
      <c r="M259" s="888">
        <f t="shared" ref="M259:M260" si="167">SUM(F259:L259)</f>
        <v>0</v>
      </c>
      <c r="N259" s="886">
        <f>'6 beruházások'!E53</f>
        <v>13384581</v>
      </c>
      <c r="O259" s="886"/>
      <c r="P259" s="886"/>
      <c r="Q259" s="886"/>
      <c r="R259" s="889">
        <f>SUM(M259:Q259)</f>
        <v>13384581</v>
      </c>
      <c r="S259" s="885"/>
    </row>
    <row r="260" spans="1:19" ht="15.75" customHeight="1" x14ac:dyDescent="0.2">
      <c r="A260" s="593"/>
      <c r="B260" s="638"/>
      <c r="C260" s="1941"/>
      <c r="D260" s="1849"/>
      <c r="E260" s="902" t="s">
        <v>256</v>
      </c>
      <c r="F260" s="1008"/>
      <c r="G260" s="1008"/>
      <c r="H260" s="1009">
        <v>0</v>
      </c>
      <c r="I260" s="1009"/>
      <c r="J260" s="1008"/>
      <c r="K260" s="1008"/>
      <c r="L260" s="1008"/>
      <c r="M260" s="888">
        <f t="shared" si="167"/>
        <v>0</v>
      </c>
      <c r="N260" s="1008">
        <f>'6 beruházások'!F53</f>
        <v>0</v>
      </c>
      <c r="O260" s="1008"/>
      <c r="P260" s="1008"/>
      <c r="Q260" s="1008"/>
      <c r="R260" s="1415">
        <v>0</v>
      </c>
      <c r="S260" s="1372"/>
    </row>
    <row r="261" spans="1:19" ht="26.25" customHeight="1" x14ac:dyDescent="0.15">
      <c r="A261" s="593"/>
      <c r="B261" s="638"/>
      <c r="C261" s="1946" t="s">
        <v>272</v>
      </c>
      <c r="D261" s="1857"/>
      <c r="E261" s="1416" t="s">
        <v>222</v>
      </c>
      <c r="F261" s="1010"/>
      <c r="G261" s="1010"/>
      <c r="H261" s="1011"/>
      <c r="I261" s="1011"/>
      <c r="J261" s="1010"/>
      <c r="K261" s="1010"/>
      <c r="L261" s="1010"/>
      <c r="M261" s="1010"/>
      <c r="N261" s="1010"/>
      <c r="O261" s="1010"/>
      <c r="P261" s="1010"/>
      <c r="Q261" s="1010"/>
      <c r="R261" s="1011"/>
      <c r="S261" s="1417"/>
    </row>
    <row r="262" spans="1:19" ht="15.75" customHeight="1" thickBot="1" x14ac:dyDescent="0.25">
      <c r="A262" s="593"/>
      <c r="B262" s="638"/>
      <c r="C262" s="1947"/>
      <c r="D262" s="1858"/>
      <c r="E262" s="200" t="s">
        <v>254</v>
      </c>
      <c r="F262" s="1010">
        <f>F266+F270</f>
        <v>4471941</v>
      </c>
      <c r="G262" s="1010">
        <f t="shared" ref="G262:L262" si="168">G266+G270</f>
        <v>983827</v>
      </c>
      <c r="H262" s="1010">
        <f t="shared" si="168"/>
        <v>900000</v>
      </c>
      <c r="I262" s="1010">
        <f t="shared" si="168"/>
        <v>2100000</v>
      </c>
      <c r="J262" s="1010">
        <f t="shared" si="168"/>
        <v>750000</v>
      </c>
      <c r="K262" s="1010">
        <f t="shared" si="168"/>
        <v>530000</v>
      </c>
      <c r="L262" s="1010">
        <f t="shared" si="168"/>
        <v>0</v>
      </c>
      <c r="M262" s="1010">
        <f>SUM(F262:L262)</f>
        <v>9735768</v>
      </c>
      <c r="N262" s="1010">
        <f>N266+N270</f>
        <v>0</v>
      </c>
      <c r="O262" s="1010">
        <f t="shared" ref="O262:Q262" si="169">O266+O270</f>
        <v>0</v>
      </c>
      <c r="P262" s="1010">
        <f t="shared" si="169"/>
        <v>0</v>
      </c>
      <c r="Q262" s="1010">
        <f t="shared" si="169"/>
        <v>0</v>
      </c>
      <c r="R262" s="1011">
        <f>SUM(M262:Q262)</f>
        <v>9735768</v>
      </c>
      <c r="S262" s="1417">
        <v>1.5</v>
      </c>
    </row>
    <row r="263" spans="1:19" ht="15.75" customHeight="1" x14ac:dyDescent="0.2">
      <c r="A263" s="639">
        <v>12</v>
      </c>
      <c r="B263" s="640"/>
      <c r="C263" s="1947"/>
      <c r="D263" s="1858"/>
      <c r="E263" s="200" t="s">
        <v>255</v>
      </c>
      <c r="F263" s="1010">
        <f t="shared" ref="F263:L264" si="170">F267+F271</f>
        <v>4606637</v>
      </c>
      <c r="G263" s="1010">
        <f t="shared" si="170"/>
        <v>983827</v>
      </c>
      <c r="H263" s="1010">
        <f t="shared" si="170"/>
        <v>2341382</v>
      </c>
      <c r="I263" s="1010">
        <f t="shared" si="170"/>
        <v>2910000</v>
      </c>
      <c r="J263" s="1010">
        <f t="shared" si="170"/>
        <v>750000</v>
      </c>
      <c r="K263" s="1010">
        <f t="shared" si="170"/>
        <v>490000</v>
      </c>
      <c r="L263" s="1010">
        <f t="shared" si="170"/>
        <v>0</v>
      </c>
      <c r="M263" s="1010">
        <f t="shared" ref="M263:M264" si="171">SUM(F263:L263)</f>
        <v>12081846</v>
      </c>
      <c r="N263" s="1010">
        <f t="shared" ref="N263:Q264" si="172">N267+N271</f>
        <v>0</v>
      </c>
      <c r="O263" s="1010">
        <f t="shared" si="172"/>
        <v>0</v>
      </c>
      <c r="P263" s="1010">
        <f t="shared" si="172"/>
        <v>0</v>
      </c>
      <c r="Q263" s="1010">
        <f t="shared" si="172"/>
        <v>0</v>
      </c>
      <c r="R263" s="1011">
        <f t="shared" ref="R263:R264" si="173">SUM(M263:Q263)</f>
        <v>12081846</v>
      </c>
      <c r="S263" s="1417">
        <f>S295</f>
        <v>1.5</v>
      </c>
    </row>
    <row r="264" spans="1:19" ht="15.75" customHeight="1" x14ac:dyDescent="0.2">
      <c r="A264" s="641"/>
      <c r="B264" s="642"/>
      <c r="C264" s="1947"/>
      <c r="D264" s="1859"/>
      <c r="E264" s="200" t="s">
        <v>256</v>
      </c>
      <c r="F264" s="1010">
        <f t="shared" si="170"/>
        <v>4606637</v>
      </c>
      <c r="G264" s="1010">
        <f t="shared" si="170"/>
        <v>908709</v>
      </c>
      <c r="H264" s="1010">
        <f>H268+H272</f>
        <v>2293444</v>
      </c>
      <c r="I264" s="1010">
        <f t="shared" si="170"/>
        <v>2134001</v>
      </c>
      <c r="J264" s="1010">
        <f t="shared" si="170"/>
        <v>687500</v>
      </c>
      <c r="K264" s="1010">
        <f t="shared" si="170"/>
        <v>490000</v>
      </c>
      <c r="L264" s="1010">
        <f t="shared" si="170"/>
        <v>0</v>
      </c>
      <c r="M264" s="1010">
        <f t="shared" si="171"/>
        <v>11120291</v>
      </c>
      <c r="N264" s="1010">
        <f t="shared" si="172"/>
        <v>0</v>
      </c>
      <c r="O264" s="1010">
        <f t="shared" si="172"/>
        <v>0</v>
      </c>
      <c r="P264" s="1010">
        <f t="shared" si="172"/>
        <v>0</v>
      </c>
      <c r="Q264" s="1010">
        <f t="shared" si="172"/>
        <v>0</v>
      </c>
      <c r="R264" s="1011">
        <f t="shared" si="173"/>
        <v>11120291</v>
      </c>
      <c r="S264" s="1418">
        <v>1.5</v>
      </c>
    </row>
    <row r="265" spans="1:19" ht="15.75" customHeight="1" x14ac:dyDescent="0.2">
      <c r="A265" s="641"/>
      <c r="B265" s="642"/>
      <c r="C265" s="1947"/>
      <c r="D265" s="1857" t="s">
        <v>54</v>
      </c>
      <c r="E265" s="201" t="s">
        <v>65</v>
      </c>
      <c r="F265" s="1010"/>
      <c r="G265" s="1010"/>
      <c r="H265" s="1010"/>
      <c r="I265" s="1010"/>
      <c r="J265" s="1010"/>
      <c r="K265" s="1010"/>
      <c r="L265" s="1010"/>
      <c r="M265" s="1010"/>
      <c r="N265" s="1010"/>
      <c r="O265" s="1010"/>
      <c r="P265" s="1010"/>
      <c r="Q265" s="1010"/>
      <c r="R265" s="1011"/>
      <c r="S265" s="1418"/>
    </row>
    <row r="266" spans="1:19" ht="15.75" customHeight="1" x14ac:dyDescent="0.2">
      <c r="A266" s="641"/>
      <c r="B266" s="642"/>
      <c r="C266" s="1947"/>
      <c r="D266" s="1858"/>
      <c r="E266" s="200" t="s">
        <v>254</v>
      </c>
      <c r="F266" s="1010">
        <f>F278+F290+F294+F298</f>
        <v>4471941</v>
      </c>
      <c r="G266" s="1010">
        <f t="shared" ref="G266:L266" si="174">G278+G290+G294+G298</f>
        <v>983827</v>
      </c>
      <c r="H266" s="1010">
        <f t="shared" si="174"/>
        <v>900000</v>
      </c>
      <c r="I266" s="1010">
        <f t="shared" si="174"/>
        <v>2100000</v>
      </c>
      <c r="J266" s="1010">
        <f t="shared" si="174"/>
        <v>750000</v>
      </c>
      <c r="K266" s="1010">
        <f t="shared" si="174"/>
        <v>0</v>
      </c>
      <c r="L266" s="1010">
        <f t="shared" si="174"/>
        <v>0</v>
      </c>
      <c r="M266" s="1010">
        <f>SUM(F266:L266)</f>
        <v>9205768</v>
      </c>
      <c r="N266" s="1010">
        <f>N278+N290+N294+N298</f>
        <v>0</v>
      </c>
      <c r="O266" s="1010">
        <f t="shared" ref="O266:Q266" si="175">O278+O290+O294+O298</f>
        <v>0</v>
      </c>
      <c r="P266" s="1010">
        <f t="shared" si="175"/>
        <v>0</v>
      </c>
      <c r="Q266" s="1010">
        <f t="shared" si="175"/>
        <v>0</v>
      </c>
      <c r="R266" s="1011">
        <f>SUM(M266:Q266)</f>
        <v>9205768</v>
      </c>
      <c r="S266" s="1418">
        <v>1.5</v>
      </c>
    </row>
    <row r="267" spans="1:19" ht="15.75" customHeight="1" x14ac:dyDescent="0.2">
      <c r="A267" s="641"/>
      <c r="B267" s="642"/>
      <c r="C267" s="1947"/>
      <c r="D267" s="1858"/>
      <c r="E267" s="200" t="s">
        <v>255</v>
      </c>
      <c r="F267" s="1010">
        <f>F279+F291+F295+F299</f>
        <v>4606637</v>
      </c>
      <c r="G267" s="1010">
        <f t="shared" ref="G267:L267" si="176">G279+G291+G295+G299</f>
        <v>983827</v>
      </c>
      <c r="H267" s="1010">
        <f t="shared" si="176"/>
        <v>1531382</v>
      </c>
      <c r="I267" s="1010">
        <f t="shared" si="176"/>
        <v>2100000</v>
      </c>
      <c r="J267" s="1010">
        <f t="shared" si="176"/>
        <v>750000</v>
      </c>
      <c r="K267" s="1010">
        <f t="shared" si="176"/>
        <v>0</v>
      </c>
      <c r="L267" s="1010">
        <f t="shared" si="176"/>
        <v>0</v>
      </c>
      <c r="M267" s="1010">
        <f t="shared" ref="M267:M268" si="177">SUM(F267:L267)</f>
        <v>9971846</v>
      </c>
      <c r="N267" s="1010">
        <f t="shared" ref="N267:Q268" si="178">N279+N291+N295+N299</f>
        <v>0</v>
      </c>
      <c r="O267" s="1010">
        <f t="shared" si="178"/>
        <v>0</v>
      </c>
      <c r="P267" s="1010">
        <f t="shared" si="178"/>
        <v>0</v>
      </c>
      <c r="Q267" s="1010">
        <f t="shared" si="178"/>
        <v>0</v>
      </c>
      <c r="R267" s="1011">
        <f t="shared" ref="R267:R272" si="179">SUM(M267:Q267)</f>
        <v>9971846</v>
      </c>
      <c r="S267" s="1418">
        <v>1.5</v>
      </c>
    </row>
    <row r="268" spans="1:19" ht="15.75" customHeight="1" x14ac:dyDescent="0.2">
      <c r="A268" s="641"/>
      <c r="B268" s="642"/>
      <c r="C268" s="1947"/>
      <c r="D268" s="1859"/>
      <c r="E268" s="200" t="s">
        <v>256</v>
      </c>
      <c r="F268" s="1010">
        <f>F280+F292+F296+F300</f>
        <v>4606637</v>
      </c>
      <c r="G268" s="1010">
        <f t="shared" ref="G268:L268" si="180">G280+G292+G296+G300</f>
        <v>908709</v>
      </c>
      <c r="H268" s="1010">
        <f t="shared" si="180"/>
        <v>1509564</v>
      </c>
      <c r="I268" s="1010">
        <f t="shared" si="180"/>
        <v>1350121</v>
      </c>
      <c r="J268" s="1010">
        <f t="shared" si="180"/>
        <v>687500</v>
      </c>
      <c r="K268" s="1010">
        <f t="shared" si="180"/>
        <v>0</v>
      </c>
      <c r="L268" s="1010">
        <f t="shared" si="180"/>
        <v>0</v>
      </c>
      <c r="M268" s="1010">
        <f t="shared" si="177"/>
        <v>9062531</v>
      </c>
      <c r="N268" s="1010">
        <f t="shared" si="178"/>
        <v>0</v>
      </c>
      <c r="O268" s="1010">
        <f t="shared" si="178"/>
        <v>0</v>
      </c>
      <c r="P268" s="1010">
        <f t="shared" si="178"/>
        <v>0</v>
      </c>
      <c r="Q268" s="1010">
        <f t="shared" si="178"/>
        <v>0</v>
      </c>
      <c r="R268" s="1011">
        <f t="shared" si="179"/>
        <v>9062531</v>
      </c>
      <c r="S268" s="1418">
        <v>1.5</v>
      </c>
    </row>
    <row r="269" spans="1:19" ht="15.75" customHeight="1" x14ac:dyDescent="0.2">
      <c r="A269" s="641"/>
      <c r="B269" s="642"/>
      <c r="C269" s="1947"/>
      <c r="D269" s="1857" t="s">
        <v>55</v>
      </c>
      <c r="E269" s="201" t="s">
        <v>66</v>
      </c>
      <c r="F269" s="1010"/>
      <c r="G269" s="1010"/>
      <c r="H269" s="1010"/>
      <c r="I269" s="1010"/>
      <c r="J269" s="1010"/>
      <c r="K269" s="1010"/>
      <c r="L269" s="1010"/>
      <c r="M269" s="1010"/>
      <c r="N269" s="1010"/>
      <c r="O269" s="1010"/>
      <c r="P269" s="1010"/>
      <c r="Q269" s="1010"/>
      <c r="R269" s="1011">
        <f t="shared" si="179"/>
        <v>0</v>
      </c>
      <c r="S269" s="1418"/>
    </row>
    <row r="270" spans="1:19" ht="15.75" customHeight="1" x14ac:dyDescent="0.2">
      <c r="A270" s="641"/>
      <c r="B270" s="642"/>
      <c r="C270" s="1947"/>
      <c r="D270" s="1858"/>
      <c r="E270" s="200" t="s">
        <v>254</v>
      </c>
      <c r="F270" s="1010">
        <f>F274+F282+F286</f>
        <v>0</v>
      </c>
      <c r="G270" s="1010">
        <f t="shared" ref="G270:L270" si="181">G274+G282+G286</f>
        <v>0</v>
      </c>
      <c r="H270" s="1010">
        <f>H282</f>
        <v>0</v>
      </c>
      <c r="I270" s="1010">
        <f>I274+H282+I286</f>
        <v>0</v>
      </c>
      <c r="J270" s="1010">
        <f t="shared" si="181"/>
        <v>0</v>
      </c>
      <c r="K270" s="1010">
        <f t="shared" si="181"/>
        <v>530000</v>
      </c>
      <c r="L270" s="1010">
        <f t="shared" si="181"/>
        <v>0</v>
      </c>
      <c r="M270" s="1010">
        <f t="shared" si="161"/>
        <v>530000</v>
      </c>
      <c r="N270" s="1010">
        <f>N274+N282+N286</f>
        <v>0</v>
      </c>
      <c r="O270" s="1010">
        <f t="shared" ref="O270:Q270" si="182">O274+O282+O286</f>
        <v>0</v>
      </c>
      <c r="P270" s="1010">
        <f t="shared" si="182"/>
        <v>0</v>
      </c>
      <c r="Q270" s="1010">
        <f t="shared" si="182"/>
        <v>0</v>
      </c>
      <c r="R270" s="1011">
        <f t="shared" si="179"/>
        <v>530000</v>
      </c>
      <c r="S270" s="1418"/>
    </row>
    <row r="271" spans="1:19" ht="15.75" customHeight="1" x14ac:dyDescent="0.2">
      <c r="A271" s="641"/>
      <c r="B271" s="642"/>
      <c r="C271" s="1947"/>
      <c r="D271" s="1858"/>
      <c r="E271" s="200" t="s">
        <v>255</v>
      </c>
      <c r="F271" s="1010">
        <f t="shared" ref="F271:L272" si="183">F275+F283+F287</f>
        <v>0</v>
      </c>
      <c r="G271" s="1010">
        <f t="shared" si="183"/>
        <v>0</v>
      </c>
      <c r="H271" s="1010">
        <f t="shared" ref="H271:H272" si="184">H283</f>
        <v>810000</v>
      </c>
      <c r="I271" s="1010">
        <f>I275+H283+I287</f>
        <v>810000</v>
      </c>
      <c r="J271" s="1010">
        <f t="shared" si="183"/>
        <v>0</v>
      </c>
      <c r="K271" s="1010">
        <f t="shared" si="183"/>
        <v>490000</v>
      </c>
      <c r="L271" s="1010">
        <f t="shared" si="183"/>
        <v>0</v>
      </c>
      <c r="M271" s="1010">
        <f t="shared" si="161"/>
        <v>2110000</v>
      </c>
      <c r="N271" s="1010">
        <f t="shared" ref="N271:Q272" si="185">N275+N283+N287</f>
        <v>0</v>
      </c>
      <c r="O271" s="1010">
        <f t="shared" si="185"/>
        <v>0</v>
      </c>
      <c r="P271" s="1010">
        <f t="shared" si="185"/>
        <v>0</v>
      </c>
      <c r="Q271" s="1010">
        <f t="shared" si="185"/>
        <v>0</v>
      </c>
      <c r="R271" s="1011">
        <f t="shared" si="179"/>
        <v>2110000</v>
      </c>
      <c r="S271" s="1419"/>
    </row>
    <row r="272" spans="1:19" ht="15.75" customHeight="1" x14ac:dyDescent="0.2">
      <c r="A272" s="641"/>
      <c r="B272" s="642"/>
      <c r="C272" s="1948"/>
      <c r="D272" s="1859"/>
      <c r="E272" s="200" t="s">
        <v>256</v>
      </c>
      <c r="F272" s="1010">
        <f t="shared" si="183"/>
        <v>0</v>
      </c>
      <c r="G272" s="1010">
        <f t="shared" si="183"/>
        <v>0</v>
      </c>
      <c r="H272" s="1010">
        <f t="shared" si="184"/>
        <v>783880</v>
      </c>
      <c r="I272" s="1010">
        <f>I276+H284+I288</f>
        <v>783880</v>
      </c>
      <c r="J272" s="1010">
        <f t="shared" si="183"/>
        <v>0</v>
      </c>
      <c r="K272" s="1010">
        <f t="shared" si="183"/>
        <v>490000</v>
      </c>
      <c r="L272" s="1010">
        <f t="shared" si="183"/>
        <v>0</v>
      </c>
      <c r="M272" s="1010">
        <f t="shared" si="161"/>
        <v>2057760</v>
      </c>
      <c r="N272" s="1010">
        <f t="shared" si="185"/>
        <v>0</v>
      </c>
      <c r="O272" s="1010">
        <f t="shared" si="185"/>
        <v>0</v>
      </c>
      <c r="P272" s="1010">
        <f t="shared" si="185"/>
        <v>0</v>
      </c>
      <c r="Q272" s="1010">
        <f t="shared" si="185"/>
        <v>0</v>
      </c>
      <c r="R272" s="1011">
        <f t="shared" si="179"/>
        <v>2057760</v>
      </c>
      <c r="S272" s="1420"/>
    </row>
    <row r="273" spans="1:19" ht="15.75" customHeight="1" x14ac:dyDescent="0.2">
      <c r="A273" s="641"/>
      <c r="B273" s="642"/>
      <c r="C273" s="1923" t="s">
        <v>279</v>
      </c>
      <c r="D273" s="1848" t="s">
        <v>55</v>
      </c>
      <c r="E273" s="1421" t="s">
        <v>190</v>
      </c>
      <c r="F273" s="591"/>
      <c r="G273" s="591"/>
      <c r="H273" s="591"/>
      <c r="I273" s="591"/>
      <c r="J273" s="591"/>
      <c r="K273" s="591"/>
      <c r="L273" s="591"/>
      <c r="M273" s="591"/>
      <c r="N273" s="591"/>
      <c r="O273" s="591"/>
      <c r="P273" s="591"/>
      <c r="Q273" s="591"/>
      <c r="R273" s="592"/>
      <c r="S273" s="885"/>
    </row>
    <row r="274" spans="1:19" ht="15.75" customHeight="1" x14ac:dyDescent="0.2">
      <c r="A274" s="641"/>
      <c r="B274" s="642"/>
      <c r="C274" s="1923"/>
      <c r="D274" s="1849"/>
      <c r="E274" s="1027" t="s">
        <v>254</v>
      </c>
      <c r="F274" s="888"/>
      <c r="G274" s="888"/>
      <c r="H274" s="888">
        <v>0</v>
      </c>
      <c r="I274" s="888"/>
      <c r="J274" s="888"/>
      <c r="K274" s="888"/>
      <c r="L274" s="888"/>
      <c r="M274" s="888">
        <f>SUM(F274:L274)</f>
        <v>0</v>
      </c>
      <c r="N274" s="888"/>
      <c r="O274" s="888"/>
      <c r="P274" s="888"/>
      <c r="Q274" s="888"/>
      <c r="R274" s="889">
        <f>SUM(M274:Q274)</f>
        <v>0</v>
      </c>
      <c r="S274" s="885"/>
    </row>
    <row r="275" spans="1:19" ht="15.75" customHeight="1" x14ac:dyDescent="0.2">
      <c r="A275" s="595"/>
      <c r="B275" s="600">
        <v>1</v>
      </c>
      <c r="C275" s="1923"/>
      <c r="D275" s="1849"/>
      <c r="E275" s="1027" t="s">
        <v>255</v>
      </c>
      <c r="F275" s="886">
        <v>0</v>
      </c>
      <c r="G275" s="886"/>
      <c r="H275" s="887">
        <v>0</v>
      </c>
      <c r="I275" s="887"/>
      <c r="J275" s="886">
        <v>0</v>
      </c>
      <c r="K275" s="886"/>
      <c r="L275" s="886"/>
      <c r="M275" s="888">
        <f t="shared" ref="M275:M292" si="186">SUM(F275:L275)</f>
        <v>0</v>
      </c>
      <c r="N275" s="886"/>
      <c r="O275" s="886"/>
      <c r="P275" s="886"/>
      <c r="Q275" s="886"/>
      <c r="R275" s="889">
        <f t="shared" ref="R275:R276" si="187">SUM(M275:Q275)</f>
        <v>0</v>
      </c>
      <c r="S275" s="885"/>
    </row>
    <row r="276" spans="1:19" ht="15.75" customHeight="1" x14ac:dyDescent="0.2">
      <c r="A276" s="595"/>
      <c r="B276" s="600"/>
      <c r="C276" s="1923"/>
      <c r="D276" s="1850"/>
      <c r="E276" s="158" t="s">
        <v>256</v>
      </c>
      <c r="F276" s="590"/>
      <c r="G276" s="590"/>
      <c r="H276" s="730">
        <v>0</v>
      </c>
      <c r="I276" s="730"/>
      <c r="J276" s="590"/>
      <c r="K276" s="590"/>
      <c r="L276" s="590"/>
      <c r="M276" s="888">
        <f t="shared" si="186"/>
        <v>0</v>
      </c>
      <c r="N276" s="590"/>
      <c r="O276" s="590"/>
      <c r="P276" s="590"/>
      <c r="Q276" s="590"/>
      <c r="R276" s="889">
        <f t="shared" si="187"/>
        <v>0</v>
      </c>
      <c r="S276" s="564"/>
    </row>
    <row r="277" spans="1:19" ht="15.75" customHeight="1" x14ac:dyDescent="0.2">
      <c r="A277" s="595"/>
      <c r="B277" s="596"/>
      <c r="C277" s="1934" t="s">
        <v>280</v>
      </c>
      <c r="D277" s="1848" t="s">
        <v>54</v>
      </c>
      <c r="E277" s="899" t="s">
        <v>215</v>
      </c>
      <c r="F277" s="590"/>
      <c r="G277" s="590"/>
      <c r="H277" s="730"/>
      <c r="I277" s="730"/>
      <c r="J277" s="590"/>
      <c r="K277" s="590"/>
      <c r="L277" s="590"/>
      <c r="M277" s="888"/>
      <c r="N277" s="590"/>
      <c r="O277" s="590"/>
      <c r="P277" s="590"/>
      <c r="Q277" s="590"/>
      <c r="R277" s="592"/>
      <c r="S277" s="564"/>
    </row>
    <row r="278" spans="1:19" ht="15.75" customHeight="1" x14ac:dyDescent="0.2">
      <c r="A278" s="595"/>
      <c r="B278" s="596"/>
      <c r="C278" s="1941"/>
      <c r="D278" s="1849"/>
      <c r="E278" s="1027" t="s">
        <v>254</v>
      </c>
      <c r="F278" s="590"/>
      <c r="G278" s="590"/>
      <c r="H278" s="730"/>
      <c r="I278" s="730">
        <v>2000000</v>
      </c>
      <c r="J278" s="590"/>
      <c r="K278" s="590"/>
      <c r="L278" s="590"/>
      <c r="M278" s="888">
        <f t="shared" si="186"/>
        <v>2000000</v>
      </c>
      <c r="N278" s="590"/>
      <c r="O278" s="590"/>
      <c r="P278" s="590"/>
      <c r="Q278" s="590"/>
      <c r="R278" s="592">
        <f>SUM(M278:Q278)</f>
        <v>2000000</v>
      </c>
      <c r="S278" s="564"/>
    </row>
    <row r="279" spans="1:19" ht="15.75" customHeight="1" x14ac:dyDescent="0.2">
      <c r="A279" s="595"/>
      <c r="B279" s="596">
        <v>2</v>
      </c>
      <c r="C279" s="1941"/>
      <c r="D279" s="1849"/>
      <c r="E279" s="1027" t="s">
        <v>255</v>
      </c>
      <c r="F279" s="886">
        <v>0</v>
      </c>
      <c r="G279" s="886"/>
      <c r="H279" s="887"/>
      <c r="I279" s="887">
        <f>2000000-10000</f>
        <v>1990000</v>
      </c>
      <c r="J279" s="886"/>
      <c r="K279" s="886"/>
      <c r="L279" s="886"/>
      <c r="M279" s="888">
        <f t="shared" si="186"/>
        <v>1990000</v>
      </c>
      <c r="N279" s="886"/>
      <c r="O279" s="886"/>
      <c r="P279" s="886"/>
      <c r="Q279" s="886"/>
      <c r="R279" s="592">
        <f t="shared" ref="R279:R280" si="188">SUM(M279:Q279)</f>
        <v>1990000</v>
      </c>
      <c r="S279" s="885"/>
    </row>
    <row r="280" spans="1:19" ht="15.75" customHeight="1" x14ac:dyDescent="0.2">
      <c r="A280" s="595"/>
      <c r="B280" s="596"/>
      <c r="C280" s="1942"/>
      <c r="D280" s="1850"/>
      <c r="E280" s="158" t="s">
        <v>256</v>
      </c>
      <c r="F280" s="886"/>
      <c r="G280" s="886"/>
      <c r="H280" s="887"/>
      <c r="I280" s="887">
        <v>1243685</v>
      </c>
      <c r="J280" s="886"/>
      <c r="K280" s="886"/>
      <c r="L280" s="886"/>
      <c r="M280" s="888">
        <f t="shared" si="186"/>
        <v>1243685</v>
      </c>
      <c r="N280" s="886"/>
      <c r="O280" s="886"/>
      <c r="P280" s="886"/>
      <c r="Q280" s="886"/>
      <c r="R280" s="592">
        <f t="shared" si="188"/>
        <v>1243685</v>
      </c>
      <c r="S280" s="885"/>
    </row>
    <row r="281" spans="1:19" ht="15.75" customHeight="1" x14ac:dyDescent="0.2">
      <c r="A281" s="595"/>
      <c r="B281" s="596"/>
      <c r="C281" s="1934" t="s">
        <v>281</v>
      </c>
      <c r="D281" s="1848" t="s">
        <v>55</v>
      </c>
      <c r="E281" s="899" t="s">
        <v>199</v>
      </c>
      <c r="F281" s="886"/>
      <c r="G281" s="886"/>
      <c r="H281" s="887"/>
      <c r="I281" s="887"/>
      <c r="J281" s="886"/>
      <c r="K281" s="886"/>
      <c r="L281" s="886"/>
      <c r="M281" s="888"/>
      <c r="N281" s="886"/>
      <c r="O281" s="886"/>
      <c r="P281" s="886"/>
      <c r="Q281" s="886"/>
      <c r="R281" s="889"/>
      <c r="S281" s="885"/>
    </row>
    <row r="282" spans="1:19" ht="15.75" customHeight="1" x14ac:dyDescent="0.2">
      <c r="A282" s="595"/>
      <c r="B282" s="596"/>
      <c r="C282" s="1941"/>
      <c r="D282" s="1849"/>
      <c r="E282" s="1027" t="s">
        <v>254</v>
      </c>
      <c r="F282" s="886"/>
      <c r="G282" s="886"/>
      <c r="H282" s="887">
        <v>0</v>
      </c>
      <c r="I282" s="1012"/>
      <c r="J282" s="886"/>
      <c r="K282" s="886"/>
      <c r="L282" s="886"/>
      <c r="M282" s="888">
        <f t="shared" si="186"/>
        <v>0</v>
      </c>
      <c r="N282" s="886"/>
      <c r="O282" s="886"/>
      <c r="P282" s="886"/>
      <c r="Q282" s="886"/>
      <c r="R282" s="889">
        <f>SUM(M282:Q282)</f>
        <v>0</v>
      </c>
      <c r="S282" s="885"/>
    </row>
    <row r="283" spans="1:19" ht="15.75" customHeight="1" x14ac:dyDescent="0.2">
      <c r="A283" s="595"/>
      <c r="B283" s="596">
        <v>3</v>
      </c>
      <c r="C283" s="1941"/>
      <c r="D283" s="1849"/>
      <c r="E283" s="1027" t="s">
        <v>255</v>
      </c>
      <c r="F283" s="886"/>
      <c r="G283" s="886"/>
      <c r="H283" s="887">
        <v>810000</v>
      </c>
      <c r="I283" s="1012"/>
      <c r="J283" s="886"/>
      <c r="K283" s="886"/>
      <c r="L283" s="886"/>
      <c r="M283" s="888">
        <f t="shared" si="186"/>
        <v>810000</v>
      </c>
      <c r="N283" s="886"/>
      <c r="O283" s="886"/>
      <c r="P283" s="886"/>
      <c r="Q283" s="886"/>
      <c r="R283" s="889">
        <f t="shared" ref="R283:R284" si="189">SUM(M283:Q283)</f>
        <v>810000</v>
      </c>
      <c r="S283" s="885"/>
    </row>
    <row r="284" spans="1:19" ht="15.75" customHeight="1" x14ac:dyDescent="0.2">
      <c r="A284" s="595"/>
      <c r="B284" s="596"/>
      <c r="C284" s="1942"/>
      <c r="D284" s="1850"/>
      <c r="E284" s="158" t="s">
        <v>256</v>
      </c>
      <c r="F284" s="886"/>
      <c r="G284" s="886"/>
      <c r="H284" s="887">
        <v>783880</v>
      </c>
      <c r="J284" s="886"/>
      <c r="K284" s="886"/>
      <c r="L284" s="886"/>
      <c r="M284" s="888">
        <f t="shared" si="186"/>
        <v>783880</v>
      </c>
      <c r="N284" s="886"/>
      <c r="O284" s="886"/>
      <c r="P284" s="886"/>
      <c r="Q284" s="886"/>
      <c r="R284" s="889">
        <f t="shared" si="189"/>
        <v>783880</v>
      </c>
      <c r="S284" s="885"/>
    </row>
    <row r="285" spans="1:19" ht="15.75" customHeight="1" x14ac:dyDescent="0.2">
      <c r="A285" s="595"/>
      <c r="B285" s="596"/>
      <c r="C285" s="1934" t="s">
        <v>282</v>
      </c>
      <c r="D285" s="1848" t="s">
        <v>55</v>
      </c>
      <c r="E285" s="899" t="s">
        <v>196</v>
      </c>
      <c r="F285" s="886"/>
      <c r="G285" s="886"/>
      <c r="H285" s="887"/>
      <c r="I285" s="887"/>
      <c r="J285" s="886"/>
      <c r="K285" s="886"/>
      <c r="L285" s="886"/>
      <c r="M285" s="888"/>
      <c r="N285" s="886"/>
      <c r="O285" s="886"/>
      <c r="P285" s="886"/>
      <c r="Q285" s="886"/>
      <c r="R285" s="889"/>
      <c r="S285" s="885"/>
    </row>
    <row r="286" spans="1:19" ht="15.75" customHeight="1" x14ac:dyDescent="0.2">
      <c r="A286" s="595"/>
      <c r="B286" s="596"/>
      <c r="C286" s="1941"/>
      <c r="D286" s="1849"/>
      <c r="E286" s="1027" t="s">
        <v>254</v>
      </c>
      <c r="F286" s="886"/>
      <c r="G286" s="886"/>
      <c r="H286" s="887"/>
      <c r="I286" s="887"/>
      <c r="J286" s="886"/>
      <c r="K286" s="886">
        <v>530000</v>
      </c>
      <c r="L286" s="886"/>
      <c r="M286" s="888">
        <f t="shared" si="186"/>
        <v>530000</v>
      </c>
      <c r="N286" s="886"/>
      <c r="O286" s="886"/>
      <c r="P286" s="886"/>
      <c r="Q286" s="886"/>
      <c r="R286" s="889">
        <f>SUM(M286:Q286)</f>
        <v>530000</v>
      </c>
      <c r="S286" s="885"/>
    </row>
    <row r="287" spans="1:19" ht="15.75" customHeight="1" x14ac:dyDescent="0.2">
      <c r="A287" s="595"/>
      <c r="B287" s="596">
        <v>4</v>
      </c>
      <c r="C287" s="1941"/>
      <c r="D287" s="1849"/>
      <c r="E287" s="1027" t="s">
        <v>255</v>
      </c>
      <c r="F287" s="886"/>
      <c r="G287" s="886"/>
      <c r="H287" s="887"/>
      <c r="I287" s="887">
        <v>0</v>
      </c>
      <c r="J287" s="886"/>
      <c r="K287" s="886">
        <v>490000</v>
      </c>
      <c r="L287" s="886"/>
      <c r="M287" s="888">
        <f t="shared" si="186"/>
        <v>490000</v>
      </c>
      <c r="N287" s="886"/>
      <c r="O287" s="886"/>
      <c r="P287" s="886"/>
      <c r="Q287" s="886"/>
      <c r="R287" s="889">
        <f t="shared" ref="R287:R288" si="190">SUM(M287:Q287)</f>
        <v>490000</v>
      </c>
      <c r="S287" s="885"/>
    </row>
    <row r="288" spans="1:19" s="875" customFormat="1" ht="15.75" customHeight="1" x14ac:dyDescent="0.2">
      <c r="A288" s="903"/>
      <c r="B288" s="904"/>
      <c r="C288" s="1942"/>
      <c r="D288" s="1850"/>
      <c r="E288" s="158" t="s">
        <v>256</v>
      </c>
      <c r="F288" s="886"/>
      <c r="G288" s="886"/>
      <c r="H288" s="887"/>
      <c r="I288" s="887">
        <v>0</v>
      </c>
      <c r="J288" s="886"/>
      <c r="K288" s="886">
        <v>490000</v>
      </c>
      <c r="L288" s="886"/>
      <c r="M288" s="888">
        <f t="shared" si="186"/>
        <v>490000</v>
      </c>
      <c r="N288" s="886"/>
      <c r="O288" s="886"/>
      <c r="P288" s="886"/>
      <c r="Q288" s="886"/>
      <c r="R288" s="889">
        <f t="shared" si="190"/>
        <v>490000</v>
      </c>
      <c r="S288" s="885"/>
    </row>
    <row r="289" spans="1:19" ht="15.75" customHeight="1" x14ac:dyDescent="0.2">
      <c r="A289" s="595"/>
      <c r="B289" s="596"/>
      <c r="C289" s="1934" t="s">
        <v>283</v>
      </c>
      <c r="D289" s="1848" t="s">
        <v>54</v>
      </c>
      <c r="E289" s="899" t="s">
        <v>217</v>
      </c>
      <c r="F289" s="886"/>
      <c r="G289" s="886"/>
      <c r="H289" s="887"/>
      <c r="I289" s="887"/>
      <c r="J289" s="886"/>
      <c r="K289" s="886"/>
      <c r="L289" s="886"/>
      <c r="M289" s="888"/>
      <c r="N289" s="886"/>
      <c r="O289" s="886"/>
      <c r="P289" s="886"/>
      <c r="Q289" s="886"/>
      <c r="R289" s="889"/>
      <c r="S289" s="885"/>
    </row>
    <row r="290" spans="1:19" ht="15.75" customHeight="1" x14ac:dyDescent="0.2">
      <c r="A290" s="595"/>
      <c r="B290" s="596"/>
      <c r="C290" s="1941"/>
      <c r="D290" s="1849"/>
      <c r="E290" s="1027" t="s">
        <v>254</v>
      </c>
      <c r="F290" s="886"/>
      <c r="G290" s="886"/>
      <c r="H290" s="887"/>
      <c r="I290" s="887">
        <v>100000</v>
      </c>
      <c r="J290" s="886"/>
      <c r="K290" s="886"/>
      <c r="L290" s="886"/>
      <c r="M290" s="888">
        <f t="shared" si="186"/>
        <v>100000</v>
      </c>
      <c r="N290" s="886"/>
      <c r="O290" s="886"/>
      <c r="P290" s="886"/>
      <c r="Q290" s="886"/>
      <c r="R290" s="889">
        <f>SUM(M290:Q290)</f>
        <v>100000</v>
      </c>
      <c r="S290" s="885"/>
    </row>
    <row r="291" spans="1:19" ht="15.75" customHeight="1" x14ac:dyDescent="0.2">
      <c r="A291" s="595"/>
      <c r="B291" s="596">
        <v>5</v>
      </c>
      <c r="C291" s="1941"/>
      <c r="D291" s="1849"/>
      <c r="E291" s="1027" t="s">
        <v>255</v>
      </c>
      <c r="F291" s="886"/>
      <c r="G291" s="886"/>
      <c r="H291" s="887"/>
      <c r="I291" s="887">
        <v>110000</v>
      </c>
      <c r="J291" s="886"/>
      <c r="K291" s="886"/>
      <c r="L291" s="886"/>
      <c r="M291" s="888">
        <f t="shared" si="186"/>
        <v>110000</v>
      </c>
      <c r="N291" s="886"/>
      <c r="O291" s="886"/>
      <c r="P291" s="886"/>
      <c r="Q291" s="886"/>
      <c r="R291" s="889">
        <f t="shared" ref="R291:R292" si="191">SUM(M291:Q291)</f>
        <v>110000</v>
      </c>
      <c r="S291" s="885"/>
    </row>
    <row r="292" spans="1:19" ht="15.75" customHeight="1" x14ac:dyDescent="0.2">
      <c r="A292" s="595"/>
      <c r="B292" s="596"/>
      <c r="C292" s="1942"/>
      <c r="D292" s="1850"/>
      <c r="E292" s="158" t="s">
        <v>256</v>
      </c>
      <c r="F292" s="886"/>
      <c r="G292" s="886"/>
      <c r="H292" s="887"/>
      <c r="I292" s="887">
        <v>106436</v>
      </c>
      <c r="J292" s="886"/>
      <c r="K292" s="886"/>
      <c r="L292" s="886"/>
      <c r="M292" s="888">
        <f t="shared" si="186"/>
        <v>106436</v>
      </c>
      <c r="N292" s="886"/>
      <c r="O292" s="886"/>
      <c r="P292" s="886"/>
      <c r="Q292" s="886"/>
      <c r="R292" s="889">
        <f t="shared" si="191"/>
        <v>106436</v>
      </c>
      <c r="S292" s="885"/>
    </row>
    <row r="293" spans="1:19" ht="15.75" customHeight="1" x14ac:dyDescent="0.2">
      <c r="A293" s="595"/>
      <c r="B293" s="596"/>
      <c r="C293" s="1943" t="s">
        <v>284</v>
      </c>
      <c r="D293" s="1847" t="s">
        <v>54</v>
      </c>
      <c r="E293" s="870" t="s">
        <v>186</v>
      </c>
      <c r="F293" s="886"/>
      <c r="G293" s="886"/>
      <c r="H293" s="887"/>
      <c r="I293" s="887"/>
      <c r="J293" s="886"/>
      <c r="K293" s="886"/>
      <c r="L293" s="886"/>
      <c r="M293" s="888"/>
      <c r="N293" s="886"/>
      <c r="O293" s="886"/>
      <c r="P293" s="886"/>
      <c r="Q293" s="886"/>
      <c r="R293" s="889"/>
      <c r="S293" s="885"/>
    </row>
    <row r="294" spans="1:19" ht="15.75" customHeight="1" x14ac:dyDescent="0.2">
      <c r="A294" s="595"/>
      <c r="B294" s="596"/>
      <c r="C294" s="1944"/>
      <c r="D294" s="1847"/>
      <c r="E294" s="1027" t="s">
        <v>254</v>
      </c>
      <c r="F294" s="886">
        <v>4471941</v>
      </c>
      <c r="G294" s="886">
        <v>983827</v>
      </c>
      <c r="H294" s="887">
        <v>900000</v>
      </c>
      <c r="I294" s="887"/>
      <c r="J294" s="886"/>
      <c r="K294" s="886"/>
      <c r="L294" s="886"/>
      <c r="M294" s="888">
        <f>SUM(F294:L294)</f>
        <v>6355768</v>
      </c>
      <c r="N294" s="886">
        <v>0</v>
      </c>
      <c r="O294" s="886"/>
      <c r="P294" s="886"/>
      <c r="Q294" s="886"/>
      <c r="R294" s="889">
        <f>SUM(M294:Q294)</f>
        <v>6355768</v>
      </c>
      <c r="S294" s="885">
        <v>1.5</v>
      </c>
    </row>
    <row r="295" spans="1:19" s="88" customFormat="1" ht="15.75" customHeight="1" x14ac:dyDescent="0.2">
      <c r="A295" s="595"/>
      <c r="B295" s="596">
        <v>6</v>
      </c>
      <c r="C295" s="1944"/>
      <c r="D295" s="1847"/>
      <c r="E295" s="1027" t="s">
        <v>255</v>
      </c>
      <c r="F295" s="886">
        <f>4606637</f>
        <v>4606637</v>
      </c>
      <c r="G295" s="886">
        <v>983827</v>
      </c>
      <c r="H295" s="887">
        <v>931382</v>
      </c>
      <c r="I295" s="887"/>
      <c r="J295" s="886"/>
      <c r="K295" s="886"/>
      <c r="L295" s="886"/>
      <c r="M295" s="888">
        <f t="shared" ref="M295:M296" si="192">SUM(F295:L295)</f>
        <v>6521846</v>
      </c>
      <c r="N295" s="886">
        <v>0</v>
      </c>
      <c r="O295" s="886"/>
      <c r="P295" s="886"/>
      <c r="Q295" s="886"/>
      <c r="R295" s="889">
        <f t="shared" ref="R295:R296" si="193">SUM(M295:Q295)</f>
        <v>6521846</v>
      </c>
      <c r="S295" s="885">
        <v>1.5</v>
      </c>
    </row>
    <row r="296" spans="1:19" s="88" customFormat="1" ht="15.75" customHeight="1" x14ac:dyDescent="0.2">
      <c r="A296" s="595"/>
      <c r="B296" s="596"/>
      <c r="C296" s="1945"/>
      <c r="D296" s="1847"/>
      <c r="E296" s="158" t="s">
        <v>256</v>
      </c>
      <c r="F296" s="886">
        <v>4606637</v>
      </c>
      <c r="G296" s="886">
        <v>908709</v>
      </c>
      <c r="H296" s="887">
        <v>931382</v>
      </c>
      <c r="I296" s="887"/>
      <c r="J296" s="886"/>
      <c r="K296" s="886"/>
      <c r="L296" s="886"/>
      <c r="M296" s="888">
        <f t="shared" si="192"/>
        <v>6446728</v>
      </c>
      <c r="N296" s="886">
        <v>0</v>
      </c>
      <c r="O296" s="886"/>
      <c r="P296" s="886"/>
      <c r="Q296" s="886"/>
      <c r="R296" s="889">
        <f t="shared" si="193"/>
        <v>6446728</v>
      </c>
      <c r="S296" s="885">
        <v>1.5</v>
      </c>
    </row>
    <row r="297" spans="1:19" ht="15.75" customHeight="1" x14ac:dyDescent="0.2">
      <c r="A297" s="643"/>
      <c r="B297" s="644"/>
      <c r="C297" s="1923" t="s">
        <v>285</v>
      </c>
      <c r="D297" s="1851" t="s">
        <v>54</v>
      </c>
      <c r="E297" s="865" t="s">
        <v>647</v>
      </c>
      <c r="F297" s="878"/>
      <c r="G297" s="878"/>
      <c r="H297" s="887"/>
      <c r="I297" s="879"/>
      <c r="J297" s="878"/>
      <c r="K297" s="878"/>
      <c r="L297" s="878"/>
      <c r="M297" s="866"/>
      <c r="N297" s="878"/>
      <c r="O297" s="878"/>
      <c r="P297" s="879"/>
      <c r="Q297" s="879"/>
      <c r="R297" s="889"/>
      <c r="S297" s="880"/>
    </row>
    <row r="298" spans="1:19" ht="15.75" customHeight="1" x14ac:dyDescent="0.2">
      <c r="A298" s="643"/>
      <c r="B298" s="644"/>
      <c r="C298" s="1923"/>
      <c r="D298" s="1852"/>
      <c r="E298" s="1027" t="s">
        <v>254</v>
      </c>
      <c r="F298" s="878"/>
      <c r="G298" s="878"/>
      <c r="H298" s="867">
        <v>0</v>
      </c>
      <c r="I298" s="879"/>
      <c r="J298" s="878">
        <v>750000</v>
      </c>
      <c r="K298" s="878"/>
      <c r="L298" s="878"/>
      <c r="M298" s="866">
        <f>SUM(F298:L298)</f>
        <v>750000</v>
      </c>
      <c r="N298" s="878"/>
      <c r="O298" s="878"/>
      <c r="P298" s="879"/>
      <c r="Q298" s="879"/>
      <c r="R298" s="889">
        <f t="shared" ref="R298:R299" si="194">SUM(M298:Q298)</f>
        <v>750000</v>
      </c>
      <c r="S298" s="880"/>
    </row>
    <row r="299" spans="1:19" ht="15.75" customHeight="1" x14ac:dyDescent="0.2">
      <c r="A299" s="643"/>
      <c r="B299" s="644"/>
      <c r="C299" s="1923"/>
      <c r="D299" s="1852"/>
      <c r="E299" s="1027" t="s">
        <v>255</v>
      </c>
      <c r="F299" s="878"/>
      <c r="G299" s="878"/>
      <c r="H299" s="879">
        <v>600000</v>
      </c>
      <c r="I299" s="879"/>
      <c r="J299" s="878">
        <v>750000</v>
      </c>
      <c r="K299" s="878"/>
      <c r="L299" s="878"/>
      <c r="M299" s="866">
        <f t="shared" ref="M299:M300" si="195">SUM(F299:L299)</f>
        <v>1350000</v>
      </c>
      <c r="N299" s="878"/>
      <c r="O299" s="878"/>
      <c r="P299" s="879"/>
      <c r="Q299" s="879"/>
      <c r="R299" s="889">
        <f t="shared" si="194"/>
        <v>1350000</v>
      </c>
      <c r="S299" s="880"/>
    </row>
    <row r="300" spans="1:19" ht="15.75" customHeight="1" thickBot="1" x14ac:dyDescent="0.25">
      <c r="A300" s="645"/>
      <c r="B300" s="646">
        <v>8</v>
      </c>
      <c r="C300" s="1923"/>
      <c r="D300" s="1853"/>
      <c r="E300" s="158" t="s">
        <v>256</v>
      </c>
      <c r="F300" s="878">
        <v>0</v>
      </c>
      <c r="G300" s="878"/>
      <c r="H300" s="879">
        <f>438810+139372</f>
        <v>578182</v>
      </c>
      <c r="I300" s="879"/>
      <c r="J300" s="878">
        <v>687500</v>
      </c>
      <c r="K300" s="878"/>
      <c r="L300" s="878"/>
      <c r="M300" s="866">
        <f t="shared" si="195"/>
        <v>1265682</v>
      </c>
      <c r="N300" s="878"/>
      <c r="O300" s="878"/>
      <c r="P300" s="879"/>
      <c r="Q300" s="879"/>
      <c r="R300" s="868">
        <f>SUM(M300:Q300)</f>
        <v>1265682</v>
      </c>
      <c r="S300" s="880"/>
    </row>
    <row r="301" spans="1:19" ht="15.75" customHeight="1" thickBot="1" x14ac:dyDescent="0.2">
      <c r="A301" s="647"/>
      <c r="B301" s="615"/>
      <c r="C301" s="1924" t="s">
        <v>286</v>
      </c>
      <c r="D301" s="1930" t="s">
        <v>54</v>
      </c>
      <c r="E301" s="1422" t="s">
        <v>0</v>
      </c>
      <c r="F301" s="1014"/>
      <c r="G301" s="1014"/>
      <c r="H301" s="1015"/>
      <c r="I301" s="1015"/>
      <c r="J301" s="1014"/>
      <c r="K301" s="1014"/>
      <c r="L301" s="1014"/>
      <c r="M301" s="1053"/>
      <c r="N301" s="1014"/>
      <c r="O301" s="1014"/>
      <c r="P301" s="1015"/>
      <c r="Q301" s="1015"/>
      <c r="R301" s="1423"/>
      <c r="S301" s="1424"/>
    </row>
    <row r="302" spans="1:19" ht="15.75" customHeight="1" thickBot="1" x14ac:dyDescent="0.25">
      <c r="A302" s="647"/>
      <c r="B302" s="615"/>
      <c r="C302" s="1925"/>
      <c r="D302" s="1931"/>
      <c r="E302" s="1425" t="s">
        <v>254</v>
      </c>
      <c r="F302" s="1014">
        <f>F306</f>
        <v>25403940</v>
      </c>
      <c r="G302" s="1014">
        <f t="shared" ref="G302:L302" si="196">G306</f>
        <v>2467827</v>
      </c>
      <c r="H302" s="1014">
        <f t="shared" si="196"/>
        <v>13406815</v>
      </c>
      <c r="I302" s="1014">
        <f t="shared" si="196"/>
        <v>0</v>
      </c>
      <c r="J302" s="1014">
        <f t="shared" si="196"/>
        <v>0</v>
      </c>
      <c r="K302" s="1014">
        <f t="shared" si="196"/>
        <v>0</v>
      </c>
      <c r="L302" s="1014">
        <f t="shared" si="196"/>
        <v>0</v>
      </c>
      <c r="M302" s="1053">
        <f>SUM(F302:L302)</f>
        <v>41278582</v>
      </c>
      <c r="N302" s="1053">
        <f>N306</f>
        <v>1306068</v>
      </c>
      <c r="O302" s="1014"/>
      <c r="P302" s="1015"/>
      <c r="Q302" s="1015"/>
      <c r="R302" s="1423">
        <f>SUM(M302:Q302)</f>
        <v>42584650</v>
      </c>
      <c r="S302" s="1424">
        <v>33</v>
      </c>
    </row>
    <row r="303" spans="1:19" s="22" customFormat="1" ht="15.75" customHeight="1" thickBot="1" x14ac:dyDescent="0.25">
      <c r="A303" s="597">
        <v>13</v>
      </c>
      <c r="B303" s="648"/>
      <c r="C303" s="1925"/>
      <c r="D303" s="1931"/>
      <c r="E303" s="1425" t="s">
        <v>255</v>
      </c>
      <c r="F303" s="1014">
        <f t="shared" ref="F303:L304" si="197">F307</f>
        <v>25403940</v>
      </c>
      <c r="G303" s="1014">
        <f t="shared" si="197"/>
        <v>2263123</v>
      </c>
      <c r="H303" s="1014">
        <f t="shared" si="197"/>
        <v>20781719</v>
      </c>
      <c r="I303" s="1014">
        <f t="shared" si="197"/>
        <v>0</v>
      </c>
      <c r="J303" s="1014">
        <f t="shared" si="197"/>
        <v>0</v>
      </c>
      <c r="K303" s="1014">
        <f t="shared" si="197"/>
        <v>0</v>
      </c>
      <c r="L303" s="1014">
        <f t="shared" si="197"/>
        <v>0</v>
      </c>
      <c r="M303" s="1053">
        <f>SUM(F303:L303)</f>
        <v>48448782</v>
      </c>
      <c r="N303" s="1053">
        <f>N307</f>
        <v>1435538</v>
      </c>
      <c r="O303" s="1053"/>
      <c r="P303" s="1053"/>
      <c r="Q303" s="1053"/>
      <c r="R303" s="1423">
        <f t="shared" ref="R303:R304" si="198">SUM(M303:Q303)</f>
        <v>49884320</v>
      </c>
      <c r="S303" s="1426">
        <v>26</v>
      </c>
    </row>
    <row r="304" spans="1:19" s="22" customFormat="1" ht="15.75" customHeight="1" thickBot="1" x14ac:dyDescent="0.25">
      <c r="A304" s="649"/>
      <c r="B304" s="648"/>
      <c r="C304" s="1925"/>
      <c r="D304" s="1932"/>
      <c r="E304" s="1425" t="s">
        <v>256</v>
      </c>
      <c r="F304" s="1014">
        <f t="shared" si="197"/>
        <v>23963715</v>
      </c>
      <c r="G304" s="1014">
        <f t="shared" si="197"/>
        <v>2400917</v>
      </c>
      <c r="H304" s="1014">
        <f t="shared" si="197"/>
        <v>20781719</v>
      </c>
      <c r="I304" s="1014">
        <f t="shared" si="197"/>
        <v>0</v>
      </c>
      <c r="J304" s="1014">
        <f t="shared" si="197"/>
        <v>0</v>
      </c>
      <c r="K304" s="1014">
        <f t="shared" si="197"/>
        <v>0</v>
      </c>
      <c r="L304" s="1014">
        <f t="shared" si="197"/>
        <v>0</v>
      </c>
      <c r="M304" s="1053">
        <f>SUM(F304:L304)</f>
        <v>47146351</v>
      </c>
      <c r="N304" s="1053">
        <f>N308</f>
        <v>1435538.15</v>
      </c>
      <c r="O304" s="1053"/>
      <c r="P304" s="1053"/>
      <c r="Q304" s="1053"/>
      <c r="R304" s="1423">
        <f t="shared" si="198"/>
        <v>48581889.149999999</v>
      </c>
      <c r="S304" s="1426">
        <v>26</v>
      </c>
    </row>
    <row r="305" spans="1:19" ht="15.75" customHeight="1" x14ac:dyDescent="0.2">
      <c r="A305" s="596"/>
      <c r="B305" s="598"/>
      <c r="C305" s="1934" t="s">
        <v>684</v>
      </c>
      <c r="D305" s="1848" t="s">
        <v>54</v>
      </c>
      <c r="E305" s="899" t="s">
        <v>225</v>
      </c>
      <c r="F305" s="886"/>
      <c r="G305" s="886"/>
      <c r="H305" s="887"/>
      <c r="I305" s="887"/>
      <c r="J305" s="886"/>
      <c r="K305" s="886"/>
      <c r="L305" s="886"/>
      <c r="M305" s="888"/>
      <c r="N305" s="886"/>
      <c r="O305" s="886"/>
      <c r="P305" s="886"/>
      <c r="Q305" s="886"/>
      <c r="R305" s="889"/>
      <c r="S305" s="885"/>
    </row>
    <row r="306" spans="1:19" ht="15.75" customHeight="1" x14ac:dyDescent="0.2">
      <c r="A306" s="596"/>
      <c r="B306" s="598"/>
      <c r="C306" s="1941"/>
      <c r="D306" s="1849"/>
      <c r="E306" s="1027" t="s">
        <v>254</v>
      </c>
      <c r="F306" s="886">
        <v>25403940</v>
      </c>
      <c r="G306" s="886">
        <v>2467827</v>
      </c>
      <c r="H306" s="887">
        <v>13406815</v>
      </c>
      <c r="I306" s="887"/>
      <c r="J306" s="886"/>
      <c r="K306" s="886"/>
      <c r="L306" s="886"/>
      <c r="M306" s="888">
        <f>SUM(F306:L306)</f>
        <v>41278582</v>
      </c>
      <c r="N306" s="886">
        <f>'6 beruházások'!D30</f>
        <v>1306068</v>
      </c>
      <c r="O306" s="886"/>
      <c r="P306" s="886"/>
      <c r="Q306" s="886"/>
      <c r="R306" s="889">
        <f>SUM(M306:Q306)</f>
        <v>42584650</v>
      </c>
      <c r="S306" s="885"/>
    </row>
    <row r="307" spans="1:19" ht="15.75" customHeight="1" x14ac:dyDescent="0.2">
      <c r="A307" s="596"/>
      <c r="B307" s="598">
        <v>2</v>
      </c>
      <c r="C307" s="1941"/>
      <c r="D307" s="1849"/>
      <c r="E307" s="158" t="s">
        <v>255</v>
      </c>
      <c r="F307" s="1008">
        <f>25403940</f>
        <v>25403940</v>
      </c>
      <c r="G307" s="1008">
        <f>2263123</f>
        <v>2263123</v>
      </c>
      <c r="H307" s="1009">
        <v>20781719</v>
      </c>
      <c r="I307" s="1009"/>
      <c r="J307" s="1008"/>
      <c r="K307" s="1008"/>
      <c r="L307" s="1008"/>
      <c r="M307" s="888">
        <f t="shared" ref="M307:M324" si="199">SUM(F307:L307)</f>
        <v>48448782</v>
      </c>
      <c r="N307" s="1008">
        <f>'6 beruházások'!E30</f>
        <v>1435538</v>
      </c>
      <c r="O307" s="1008"/>
      <c r="P307" s="1008"/>
      <c r="Q307" s="1008"/>
      <c r="R307" s="889">
        <f t="shared" ref="R307:R308" si="200">SUM(M307:Q307)</f>
        <v>49884320</v>
      </c>
      <c r="S307" s="1372"/>
    </row>
    <row r="308" spans="1:19" s="875" customFormat="1" ht="15.75" customHeight="1" x14ac:dyDescent="0.2">
      <c r="A308" s="897"/>
      <c r="B308" s="895"/>
      <c r="C308" s="1942"/>
      <c r="D308" s="1850"/>
      <c r="E308" s="1027" t="s">
        <v>256</v>
      </c>
      <c r="F308" s="878">
        <v>23963715</v>
      </c>
      <c r="G308" s="878">
        <v>2400917</v>
      </c>
      <c r="H308" s="879">
        <v>20781719</v>
      </c>
      <c r="I308" s="879"/>
      <c r="J308" s="878"/>
      <c r="K308" s="878"/>
      <c r="L308" s="878"/>
      <c r="M308" s="891">
        <f t="shared" si="199"/>
        <v>47146351</v>
      </c>
      <c r="N308" s="878">
        <f>'6 beruházások'!F30</f>
        <v>1435538.15</v>
      </c>
      <c r="O308" s="878"/>
      <c r="P308" s="878"/>
      <c r="Q308" s="878"/>
      <c r="R308" s="889">
        <f t="shared" si="200"/>
        <v>48581889.149999999</v>
      </c>
      <c r="S308" s="880"/>
    </row>
    <row r="309" spans="1:19" ht="19.5" customHeight="1" x14ac:dyDescent="0.15">
      <c r="A309" s="637"/>
      <c r="B309" s="598"/>
      <c r="C309" s="1923" t="s">
        <v>287</v>
      </c>
      <c r="D309" s="1854" t="s">
        <v>54</v>
      </c>
      <c r="E309" s="890" t="s">
        <v>252</v>
      </c>
      <c r="F309" s="878"/>
      <c r="G309" s="878"/>
      <c r="H309" s="879"/>
      <c r="I309" s="879"/>
      <c r="J309" s="878"/>
      <c r="K309" s="878"/>
      <c r="L309" s="878"/>
      <c r="M309" s="888"/>
      <c r="N309" s="878"/>
      <c r="O309" s="878"/>
      <c r="P309" s="878"/>
      <c r="Q309" s="878"/>
      <c r="R309" s="889"/>
      <c r="S309" s="880"/>
    </row>
    <row r="310" spans="1:19" ht="15.75" customHeight="1" x14ac:dyDescent="0.2">
      <c r="A310" s="637"/>
      <c r="B310" s="598"/>
      <c r="C310" s="1923"/>
      <c r="D310" s="1855"/>
      <c r="E310" s="1027" t="s">
        <v>254</v>
      </c>
      <c r="F310" s="878">
        <v>5479619</v>
      </c>
      <c r="G310" s="886">
        <v>1205516</v>
      </c>
      <c r="H310" s="879">
        <v>2868100</v>
      </c>
      <c r="I310" s="879"/>
      <c r="J310" s="878"/>
      <c r="K310" s="878"/>
      <c r="L310" s="878"/>
      <c r="M310" s="888">
        <f>SUM(F310:L310)</f>
        <v>9553235</v>
      </c>
      <c r="N310" s="878">
        <f>'6 beruházások'!D21</f>
        <v>114000</v>
      </c>
      <c r="O310" s="878"/>
      <c r="P310" s="878"/>
      <c r="Q310" s="878"/>
      <c r="R310" s="889">
        <f>SUM(M310:Q310)</f>
        <v>9667235</v>
      </c>
      <c r="S310" s="880">
        <v>2</v>
      </c>
    </row>
    <row r="311" spans="1:19" ht="15.75" customHeight="1" x14ac:dyDescent="0.2">
      <c r="A311" s="595">
        <v>14</v>
      </c>
      <c r="B311" s="596"/>
      <c r="C311" s="1923"/>
      <c r="D311" s="1855"/>
      <c r="E311" s="158" t="s">
        <v>255</v>
      </c>
      <c r="F311" s="878">
        <v>5479619</v>
      </c>
      <c r="G311" s="886">
        <v>1205516</v>
      </c>
      <c r="H311" s="887">
        <v>2986745</v>
      </c>
      <c r="I311" s="887"/>
      <c r="J311" s="886"/>
      <c r="K311" s="886">
        <v>0</v>
      </c>
      <c r="L311" s="886"/>
      <c r="M311" s="888">
        <f t="shared" ref="M311:M312" si="201">SUM(F311:L311)</f>
        <v>9671880</v>
      </c>
      <c r="N311" s="886">
        <f>'6 beruházások'!E21</f>
        <v>602098</v>
      </c>
      <c r="O311" s="886"/>
      <c r="P311" s="886"/>
      <c r="Q311" s="886"/>
      <c r="R311" s="889">
        <f t="shared" ref="R311:R312" si="202">SUM(M311:Q311)</f>
        <v>10273978</v>
      </c>
      <c r="S311" s="192">
        <v>2</v>
      </c>
    </row>
    <row r="312" spans="1:19" ht="15.75" customHeight="1" x14ac:dyDescent="0.2">
      <c r="A312" s="599"/>
      <c r="B312" s="596"/>
      <c r="C312" s="1923"/>
      <c r="D312" s="1856"/>
      <c r="E312" s="1027" t="s">
        <v>256</v>
      </c>
      <c r="F312" s="886">
        <f>4783021-285714</f>
        <v>4497307</v>
      </c>
      <c r="G312" s="886">
        <f>939936-55714</f>
        <v>884222</v>
      </c>
      <c r="H312" s="887">
        <v>2986745</v>
      </c>
      <c r="I312" s="887"/>
      <c r="J312" s="886"/>
      <c r="K312" s="886"/>
      <c r="L312" s="886"/>
      <c r="M312" s="888">
        <f t="shared" si="201"/>
        <v>8368274</v>
      </c>
      <c r="N312" s="886">
        <f>'6 beruházások'!F21</f>
        <v>602098</v>
      </c>
      <c r="O312" s="886"/>
      <c r="P312" s="886"/>
      <c r="Q312" s="886"/>
      <c r="R312" s="889">
        <f t="shared" si="202"/>
        <v>8970372</v>
      </c>
      <c r="S312" s="192">
        <v>2</v>
      </c>
    </row>
    <row r="313" spans="1:19" s="875" customFormat="1" ht="15.75" customHeight="1" x14ac:dyDescent="0.2">
      <c r="A313" s="599"/>
      <c r="B313" s="596"/>
      <c r="C313" s="1186"/>
      <c r="D313" s="1854" t="s">
        <v>55</v>
      </c>
      <c r="E313" s="1427" t="s">
        <v>626</v>
      </c>
      <c r="F313" s="886"/>
      <c r="G313" s="886"/>
      <c r="H313" s="887"/>
      <c r="I313" s="887"/>
      <c r="J313" s="886"/>
      <c r="K313" s="886"/>
      <c r="L313" s="886"/>
      <c r="M313" s="591"/>
      <c r="N313" s="886"/>
      <c r="O313" s="886"/>
      <c r="P313" s="886"/>
      <c r="Q313" s="886"/>
      <c r="R313" s="889"/>
      <c r="S313" s="192"/>
    </row>
    <row r="314" spans="1:19" s="875" customFormat="1" ht="15.75" customHeight="1" x14ac:dyDescent="0.2">
      <c r="A314" s="599"/>
      <c r="B314" s="596"/>
      <c r="C314" s="1186"/>
      <c r="D314" s="1855"/>
      <c r="E314" s="1027" t="s">
        <v>254</v>
      </c>
      <c r="F314" s="886">
        <v>0</v>
      </c>
      <c r="G314" s="886">
        <v>0</v>
      </c>
      <c r="H314" s="887">
        <v>0</v>
      </c>
      <c r="I314" s="887"/>
      <c r="J314" s="886"/>
      <c r="K314" s="886"/>
      <c r="L314" s="886"/>
      <c r="M314" s="888">
        <f>SUM(F314:L314)</f>
        <v>0</v>
      </c>
      <c r="N314" s="886">
        <f>'6 beruházások'!D28</f>
        <v>0</v>
      </c>
      <c r="O314" s="886"/>
      <c r="P314" s="886"/>
      <c r="Q314" s="886"/>
      <c r="R314" s="889"/>
      <c r="S314" s="192">
        <v>0</v>
      </c>
    </row>
    <row r="315" spans="1:19" s="875" customFormat="1" ht="15.75" customHeight="1" x14ac:dyDescent="0.2">
      <c r="A315" s="599"/>
      <c r="B315" s="596"/>
      <c r="C315" s="1186"/>
      <c r="D315" s="1855"/>
      <c r="E315" s="158" t="s">
        <v>255</v>
      </c>
      <c r="F315" s="886">
        <f>1161345</f>
        <v>1161345</v>
      </c>
      <c r="G315" s="886">
        <v>216600</v>
      </c>
      <c r="H315" s="887">
        <v>400000</v>
      </c>
      <c r="I315" s="887"/>
      <c r="J315" s="886"/>
      <c r="K315" s="886"/>
      <c r="L315" s="886"/>
      <c r="M315" s="888">
        <f t="shared" ref="M315:M316" si="203">SUM(F315:L315)</f>
        <v>1777945</v>
      </c>
      <c r="N315" s="886">
        <f>'6 beruházások'!E28</f>
        <v>45000</v>
      </c>
      <c r="O315" s="886"/>
      <c r="P315" s="886"/>
      <c r="Q315" s="886"/>
      <c r="R315" s="889"/>
      <c r="S315" s="192">
        <v>1</v>
      </c>
    </row>
    <row r="316" spans="1:19" s="875" customFormat="1" ht="15.75" customHeight="1" x14ac:dyDescent="0.2">
      <c r="A316" s="599"/>
      <c r="B316" s="596"/>
      <c r="C316" s="1186"/>
      <c r="D316" s="1856"/>
      <c r="E316" s="1027" t="s">
        <v>256</v>
      </c>
      <c r="F316" s="886">
        <v>1161345</v>
      </c>
      <c r="G316" s="886">
        <v>209511</v>
      </c>
      <c r="H316" s="887">
        <v>393230</v>
      </c>
      <c r="I316" s="887"/>
      <c r="J316" s="886"/>
      <c r="K316" s="886"/>
      <c r="L316" s="886"/>
      <c r="M316" s="888">
        <f t="shared" si="203"/>
        <v>1764086</v>
      </c>
      <c r="N316" s="886">
        <f>'6 beruházások'!F28</f>
        <v>45000</v>
      </c>
      <c r="O316" s="886"/>
      <c r="P316" s="886"/>
      <c r="Q316" s="886"/>
      <c r="R316" s="889"/>
      <c r="S316" s="192">
        <v>1</v>
      </c>
    </row>
    <row r="317" spans="1:19" s="875" customFormat="1" ht="15.75" customHeight="1" x14ac:dyDescent="0.15">
      <c r="A317" s="910">
        <v>15</v>
      </c>
      <c r="B317" s="904"/>
      <c r="C317" s="1934" t="s">
        <v>288</v>
      </c>
      <c r="D317" s="1848" t="s">
        <v>54</v>
      </c>
      <c r="E317" s="911" t="s">
        <v>242</v>
      </c>
      <c r="F317" s="886"/>
      <c r="G317" s="886"/>
      <c r="H317" s="887">
        <v>0</v>
      </c>
      <c r="I317" s="887"/>
      <c r="J317" s="886"/>
      <c r="K317" s="886"/>
      <c r="L317" s="886"/>
      <c r="M317" s="888"/>
      <c r="N317" s="886"/>
      <c r="O317" s="886"/>
      <c r="P317" s="886"/>
      <c r="Q317" s="886"/>
      <c r="R317" s="889"/>
      <c r="S317" s="192"/>
    </row>
    <row r="318" spans="1:19" s="875" customFormat="1" ht="15.75" customHeight="1" x14ac:dyDescent="0.2">
      <c r="A318" s="910"/>
      <c r="B318" s="904"/>
      <c r="C318" s="1941"/>
      <c r="D318" s="1849"/>
      <c r="E318" s="1027" t="s">
        <v>254</v>
      </c>
      <c r="F318" s="886"/>
      <c r="G318" s="886"/>
      <c r="H318" s="887">
        <v>0</v>
      </c>
      <c r="I318" s="887"/>
      <c r="J318" s="886"/>
      <c r="K318" s="886"/>
      <c r="L318" s="886"/>
      <c r="M318" s="888">
        <f t="shared" si="199"/>
        <v>0</v>
      </c>
      <c r="N318" s="886"/>
      <c r="O318" s="886"/>
      <c r="P318" s="886"/>
      <c r="Q318" s="886"/>
      <c r="R318" s="889">
        <f t="shared" ref="R318:R320" si="204">SUM(M318:Q318)</f>
        <v>0</v>
      </c>
      <c r="S318" s="872"/>
    </row>
    <row r="319" spans="1:19" s="875" customFormat="1" ht="15.75" customHeight="1" x14ac:dyDescent="0.2">
      <c r="A319" s="910"/>
      <c r="B319" s="904"/>
      <c r="C319" s="1941"/>
      <c r="D319" s="1849"/>
      <c r="E319" s="158" t="s">
        <v>255</v>
      </c>
      <c r="F319" s="886"/>
      <c r="G319" s="886"/>
      <c r="H319" s="887">
        <v>0</v>
      </c>
      <c r="I319" s="887"/>
      <c r="J319" s="886"/>
      <c r="K319" s="886"/>
      <c r="L319" s="886"/>
      <c r="M319" s="888">
        <f t="shared" si="199"/>
        <v>0</v>
      </c>
      <c r="N319" s="886"/>
      <c r="O319" s="886"/>
      <c r="P319" s="886"/>
      <c r="Q319" s="886"/>
      <c r="R319" s="889">
        <f t="shared" si="204"/>
        <v>0</v>
      </c>
      <c r="S319" s="873"/>
    </row>
    <row r="320" spans="1:19" s="875" customFormat="1" ht="15.75" customHeight="1" x14ac:dyDescent="0.2">
      <c r="A320" s="910"/>
      <c r="B320" s="904"/>
      <c r="C320" s="1942"/>
      <c r="D320" s="1850"/>
      <c r="E320" s="1027" t="s">
        <v>256</v>
      </c>
      <c r="F320" s="886"/>
      <c r="G320" s="886"/>
      <c r="H320" s="887">
        <v>0</v>
      </c>
      <c r="I320" s="887"/>
      <c r="J320" s="886"/>
      <c r="K320" s="886"/>
      <c r="L320" s="886"/>
      <c r="M320" s="888">
        <f t="shared" si="199"/>
        <v>0</v>
      </c>
      <c r="N320" s="886"/>
      <c r="O320" s="886"/>
      <c r="P320" s="886"/>
      <c r="Q320" s="886"/>
      <c r="R320" s="889">
        <f t="shared" si="204"/>
        <v>0</v>
      </c>
      <c r="S320" s="873"/>
    </row>
    <row r="321" spans="1:19" s="22" customFormat="1" ht="15.75" customHeight="1" x14ac:dyDescent="0.15">
      <c r="A321" s="912">
        <v>16</v>
      </c>
      <c r="B321" s="904"/>
      <c r="C321" s="1934" t="s">
        <v>289</v>
      </c>
      <c r="D321" s="1854" t="s">
        <v>55</v>
      </c>
      <c r="E321" s="911" t="s">
        <v>77</v>
      </c>
      <c r="F321" s="888">
        <v>0</v>
      </c>
      <c r="G321" s="888"/>
      <c r="H321" s="886"/>
      <c r="I321" s="886"/>
      <c r="J321" s="886"/>
      <c r="K321" s="886">
        <v>0</v>
      </c>
      <c r="L321" s="888"/>
      <c r="M321" s="888"/>
      <c r="N321" s="888"/>
      <c r="O321" s="888"/>
      <c r="P321" s="888"/>
      <c r="Q321" s="888"/>
      <c r="R321" s="889">
        <f>M321</f>
        <v>0</v>
      </c>
      <c r="S321" s="192"/>
    </row>
    <row r="322" spans="1:19" s="22" customFormat="1" ht="15.75" customHeight="1" x14ac:dyDescent="0.2">
      <c r="A322" s="913"/>
      <c r="B322" s="914"/>
      <c r="C322" s="1941"/>
      <c r="D322" s="1855"/>
      <c r="E322" s="1027" t="s">
        <v>254</v>
      </c>
      <c r="F322" s="888"/>
      <c r="G322" s="888"/>
      <c r="H322" s="886"/>
      <c r="I322" s="886"/>
      <c r="J322" s="886">
        <v>160849</v>
      </c>
      <c r="K322" s="886"/>
      <c r="L322" s="888"/>
      <c r="M322" s="888">
        <f t="shared" si="199"/>
        <v>160849</v>
      </c>
      <c r="N322" s="888"/>
      <c r="O322" s="888"/>
      <c r="P322" s="888"/>
      <c r="Q322" s="888"/>
      <c r="R322" s="889"/>
      <c r="S322" s="872"/>
    </row>
    <row r="323" spans="1:19" s="22" customFormat="1" ht="15.75" customHeight="1" x14ac:dyDescent="0.2">
      <c r="A323" s="913"/>
      <c r="B323" s="914"/>
      <c r="C323" s="1941"/>
      <c r="D323" s="1855"/>
      <c r="E323" s="158" t="s">
        <v>255</v>
      </c>
      <c r="F323" s="888"/>
      <c r="G323" s="888"/>
      <c r="H323" s="886"/>
      <c r="I323" s="886"/>
      <c r="J323" s="886">
        <f>160849</f>
        <v>160849</v>
      </c>
      <c r="K323" s="886"/>
      <c r="L323" s="888"/>
      <c r="M323" s="888">
        <f t="shared" si="199"/>
        <v>160849</v>
      </c>
      <c r="N323" s="888"/>
      <c r="O323" s="888"/>
      <c r="P323" s="888"/>
      <c r="Q323" s="888"/>
      <c r="R323" s="889"/>
      <c r="S323" s="192"/>
    </row>
    <row r="324" spans="1:19" s="22" customFormat="1" ht="15.75" customHeight="1" x14ac:dyDescent="0.2">
      <c r="A324" s="913"/>
      <c r="B324" s="914"/>
      <c r="C324" s="1941"/>
      <c r="D324" s="1856"/>
      <c r="E324" s="1027" t="s">
        <v>256</v>
      </c>
      <c r="F324" s="888"/>
      <c r="G324" s="888"/>
      <c r="H324" s="886"/>
      <c r="I324" s="886"/>
      <c r="J324" s="886">
        <v>40000</v>
      </c>
      <c r="K324" s="886"/>
      <c r="L324" s="888"/>
      <c r="M324" s="888">
        <f t="shared" si="199"/>
        <v>40000</v>
      </c>
      <c r="N324" s="888"/>
      <c r="O324" s="888"/>
      <c r="P324" s="888"/>
      <c r="Q324" s="888"/>
      <c r="R324" s="889"/>
      <c r="S324" s="192"/>
    </row>
    <row r="325" spans="1:19" s="141" customFormat="1" ht="15.75" customHeight="1" x14ac:dyDescent="0.15">
      <c r="A325" s="651"/>
      <c r="B325" s="652"/>
      <c r="C325" s="1923" t="s">
        <v>290</v>
      </c>
      <c r="D325" s="1854" t="s">
        <v>54</v>
      </c>
      <c r="E325" s="871" t="s">
        <v>231</v>
      </c>
      <c r="F325" s="888"/>
      <c r="G325" s="888"/>
      <c r="H325" s="886"/>
      <c r="I325" s="886"/>
      <c r="J325" s="886"/>
      <c r="K325" s="886"/>
      <c r="L325" s="888"/>
      <c r="M325" s="888"/>
      <c r="N325" s="888"/>
      <c r="O325" s="888"/>
      <c r="P325" s="888"/>
      <c r="Q325" s="888"/>
      <c r="R325" s="889"/>
      <c r="S325" s="872"/>
    </row>
    <row r="326" spans="1:19" s="141" customFormat="1" ht="15.75" customHeight="1" x14ac:dyDescent="0.2">
      <c r="A326" s="651"/>
      <c r="B326" s="652"/>
      <c r="C326" s="1923"/>
      <c r="D326" s="1855"/>
      <c r="E326" s="1027" t="s">
        <v>254</v>
      </c>
      <c r="F326" s="888">
        <v>0</v>
      </c>
      <c r="G326" s="888">
        <v>0</v>
      </c>
      <c r="H326" s="886">
        <v>550000</v>
      </c>
      <c r="I326" s="886"/>
      <c r="J326" s="886"/>
      <c r="K326" s="886"/>
      <c r="L326" s="888"/>
      <c r="M326" s="888">
        <f>SUM(F326:L326)</f>
        <v>550000</v>
      </c>
      <c r="N326" s="888"/>
      <c r="O326" s="888"/>
      <c r="P326" s="888"/>
      <c r="Q326" s="888"/>
      <c r="R326" s="889">
        <f>SUM(M326:Q326)</f>
        <v>550000</v>
      </c>
      <c r="S326" s="192"/>
    </row>
    <row r="327" spans="1:19" s="22" customFormat="1" ht="15.75" customHeight="1" x14ac:dyDescent="0.2">
      <c r="A327" s="651">
        <v>17</v>
      </c>
      <c r="B327" s="652"/>
      <c r="C327" s="1923"/>
      <c r="D327" s="1855"/>
      <c r="E327" s="158" t="s">
        <v>255</v>
      </c>
      <c r="F327" s="888">
        <v>30000</v>
      </c>
      <c r="G327" s="888">
        <v>12213</v>
      </c>
      <c r="H327" s="886">
        <v>520000</v>
      </c>
      <c r="I327" s="886"/>
      <c r="J327" s="886"/>
      <c r="K327" s="886"/>
      <c r="L327" s="888"/>
      <c r="M327" s="888">
        <f t="shared" ref="M327:M331" si="205">SUM(F327:L327)</f>
        <v>562213</v>
      </c>
      <c r="N327" s="888"/>
      <c r="O327" s="888"/>
      <c r="P327" s="888"/>
      <c r="Q327" s="888"/>
      <c r="R327" s="889">
        <f t="shared" ref="R327:R331" si="206">SUM(M327:Q327)</f>
        <v>562213</v>
      </c>
      <c r="S327" s="192"/>
    </row>
    <row r="328" spans="1:19" s="22" customFormat="1" ht="15.75" customHeight="1" x14ac:dyDescent="0.2">
      <c r="A328" s="651"/>
      <c r="B328" s="652"/>
      <c r="C328" s="1923"/>
      <c r="D328" s="1856"/>
      <c r="E328" s="1027" t="s">
        <v>256</v>
      </c>
      <c r="F328" s="888">
        <v>30000</v>
      </c>
      <c r="G328" s="888">
        <v>12213</v>
      </c>
      <c r="H328" s="886">
        <v>513124</v>
      </c>
      <c r="I328" s="886"/>
      <c r="J328" s="886"/>
      <c r="K328" s="886"/>
      <c r="L328" s="888"/>
      <c r="M328" s="888">
        <f t="shared" si="205"/>
        <v>555337</v>
      </c>
      <c r="N328" s="888"/>
      <c r="O328" s="888"/>
      <c r="P328" s="888"/>
      <c r="Q328" s="888"/>
      <c r="R328" s="889">
        <f t="shared" si="206"/>
        <v>555337</v>
      </c>
      <c r="S328" s="873"/>
    </row>
    <row r="329" spans="1:19" s="22" customFormat="1" ht="15.75" customHeight="1" x14ac:dyDescent="0.2">
      <c r="A329" s="651"/>
      <c r="B329" s="615"/>
      <c r="C329" s="1923" t="s">
        <v>291</v>
      </c>
      <c r="D329" s="1860" t="s">
        <v>54</v>
      </c>
      <c r="E329" s="893" t="s">
        <v>205</v>
      </c>
      <c r="F329" s="888"/>
      <c r="G329" s="888"/>
      <c r="H329" s="886"/>
      <c r="I329" s="886"/>
      <c r="J329" s="886"/>
      <c r="K329" s="886"/>
      <c r="L329" s="888"/>
      <c r="M329" s="888"/>
      <c r="N329" s="888"/>
      <c r="O329" s="888"/>
      <c r="P329" s="888"/>
      <c r="Q329" s="888"/>
      <c r="R329" s="889"/>
      <c r="S329" s="873"/>
    </row>
    <row r="330" spans="1:19" s="22" customFormat="1" ht="15.75" customHeight="1" x14ac:dyDescent="0.2">
      <c r="A330" s="651"/>
      <c r="B330" s="615"/>
      <c r="C330" s="1923"/>
      <c r="D330" s="1861"/>
      <c r="E330" s="1027" t="s">
        <v>254</v>
      </c>
      <c r="F330" s="888"/>
      <c r="G330" s="888"/>
      <c r="H330" s="886">
        <v>150000</v>
      </c>
      <c r="I330" s="886"/>
      <c r="J330" s="886"/>
      <c r="K330" s="886"/>
      <c r="L330" s="888"/>
      <c r="M330" s="888"/>
      <c r="N330" s="888"/>
      <c r="O330" s="888"/>
      <c r="P330" s="888"/>
      <c r="Q330" s="888"/>
      <c r="R330" s="889"/>
      <c r="S330" s="873"/>
    </row>
    <row r="331" spans="1:19" ht="15.75" customHeight="1" x14ac:dyDescent="0.2">
      <c r="A331" s="596">
        <v>18</v>
      </c>
      <c r="B331" s="650"/>
      <c r="C331" s="1923"/>
      <c r="D331" s="1861"/>
      <c r="E331" s="158" t="s">
        <v>255</v>
      </c>
      <c r="F331" s="886"/>
      <c r="G331" s="886"/>
      <c r="H331" s="887">
        <v>0</v>
      </c>
      <c r="I331" s="887"/>
      <c r="J331" s="886"/>
      <c r="K331" s="886"/>
      <c r="L331" s="886">
        <v>0</v>
      </c>
      <c r="M331" s="888">
        <f t="shared" si="205"/>
        <v>0</v>
      </c>
      <c r="N331" s="886"/>
      <c r="O331" s="886"/>
      <c r="P331" s="886"/>
      <c r="Q331" s="886"/>
      <c r="R331" s="889">
        <f t="shared" si="206"/>
        <v>0</v>
      </c>
      <c r="S331" s="885"/>
    </row>
    <row r="332" spans="1:19" ht="15.75" customHeight="1" thickBot="1" x14ac:dyDescent="0.25">
      <c r="A332" s="651"/>
      <c r="B332" s="653"/>
      <c r="C332" s="1934"/>
      <c r="D332" s="1861"/>
      <c r="E332" s="185" t="s">
        <v>256</v>
      </c>
      <c r="F332" s="1008"/>
      <c r="G332" s="1008"/>
      <c r="H332" s="1009">
        <v>0</v>
      </c>
      <c r="I332" s="1009"/>
      <c r="J332" s="1008"/>
      <c r="K332" s="1008"/>
      <c r="L332" s="1008"/>
      <c r="M332" s="891"/>
      <c r="N332" s="1008"/>
      <c r="O332" s="1008"/>
      <c r="P332" s="1008"/>
      <c r="Q332" s="1008"/>
      <c r="R332" s="1415"/>
      <c r="S332" s="1372"/>
    </row>
    <row r="333" spans="1:19" s="22" customFormat="1" ht="15.75" customHeight="1" thickBot="1" x14ac:dyDescent="0.25">
      <c r="A333" s="1805" t="s">
        <v>292</v>
      </c>
      <c r="B333" s="1805"/>
      <c r="C333" s="1805"/>
      <c r="D333" s="1805"/>
      <c r="E333" s="1805"/>
      <c r="F333" s="937"/>
      <c r="G333" s="937"/>
      <c r="H333" s="937"/>
      <c r="I333" s="937"/>
      <c r="J333" s="937"/>
      <c r="K333" s="937"/>
      <c r="L333" s="937"/>
      <c r="M333" s="937"/>
      <c r="N333" s="937"/>
      <c r="O333" s="937"/>
      <c r="P333" s="937"/>
      <c r="Q333" s="937"/>
      <c r="R333" s="937"/>
      <c r="S333" s="1428"/>
    </row>
    <row r="334" spans="1:19" s="22" customFormat="1" ht="15.75" customHeight="1" thickBot="1" x14ac:dyDescent="0.25">
      <c r="A334" s="654"/>
      <c r="B334" s="654"/>
      <c r="C334" s="1933"/>
      <c r="D334" s="1933"/>
      <c r="E334" s="1396" t="s">
        <v>254</v>
      </c>
      <c r="F334" s="937">
        <f>F338+F342+F346</f>
        <v>54560992</v>
      </c>
      <c r="G334" s="937">
        <f t="shared" ref="G334:Q334" si="207">G338+G342+G346</f>
        <v>9005711.879999999</v>
      </c>
      <c r="H334" s="937">
        <f t="shared" si="207"/>
        <v>61068465</v>
      </c>
      <c r="I334" s="937">
        <f t="shared" si="207"/>
        <v>2100000</v>
      </c>
      <c r="J334" s="937">
        <f>J338+J342+J346</f>
        <v>910849</v>
      </c>
      <c r="K334" s="937">
        <f>K338+K342+K346</f>
        <v>5273411</v>
      </c>
      <c r="L334" s="937">
        <f t="shared" si="207"/>
        <v>4476664</v>
      </c>
      <c r="M334" s="937">
        <f>SUM(F334:L334)</f>
        <v>137396092.88</v>
      </c>
      <c r="N334" s="937">
        <f t="shared" si="207"/>
        <v>415807475</v>
      </c>
      <c r="O334" s="937">
        <f t="shared" si="207"/>
        <v>0</v>
      </c>
      <c r="P334" s="937">
        <f t="shared" si="207"/>
        <v>0</v>
      </c>
      <c r="Q334" s="937">
        <f t="shared" si="207"/>
        <v>0</v>
      </c>
      <c r="R334" s="937">
        <f>SUM(M334:Q334)</f>
        <v>553203567.88</v>
      </c>
      <c r="S334" s="1428">
        <f>S338</f>
        <v>40.5</v>
      </c>
    </row>
    <row r="335" spans="1:19" s="22" customFormat="1" ht="15.75" customHeight="1" thickBot="1" x14ac:dyDescent="0.25">
      <c r="A335" s="654"/>
      <c r="B335" s="654"/>
      <c r="C335" s="1933"/>
      <c r="D335" s="1933"/>
      <c r="E335" s="1396" t="s">
        <v>255</v>
      </c>
      <c r="F335" s="937">
        <f>F339+F343+F347</f>
        <v>70266564</v>
      </c>
      <c r="G335" s="937">
        <f t="shared" ref="G335:Q336" si="208">G339+G343+G347</f>
        <v>12107292</v>
      </c>
      <c r="H335" s="937">
        <f t="shared" si="208"/>
        <v>84844819</v>
      </c>
      <c r="I335" s="937">
        <f t="shared" si="208"/>
        <v>2100000</v>
      </c>
      <c r="J335" s="937">
        <f t="shared" si="208"/>
        <v>910849</v>
      </c>
      <c r="K335" s="937">
        <f t="shared" si="208"/>
        <v>5619411</v>
      </c>
      <c r="L335" s="937">
        <f t="shared" si="208"/>
        <v>7316320</v>
      </c>
      <c r="M335" s="937">
        <f t="shared" ref="M335:M336" si="209">SUM(F335:L335)</f>
        <v>183165255</v>
      </c>
      <c r="N335" s="937">
        <f>N339+N343+N347</f>
        <v>434782238.10000002</v>
      </c>
      <c r="O335" s="937">
        <f t="shared" si="208"/>
        <v>5231394</v>
      </c>
      <c r="P335" s="937">
        <f t="shared" si="208"/>
        <v>0</v>
      </c>
      <c r="Q335" s="937">
        <f t="shared" si="208"/>
        <v>0</v>
      </c>
      <c r="R335" s="937">
        <f t="shared" ref="R335:R336" si="210">SUM(M335:Q335)</f>
        <v>623178887.10000002</v>
      </c>
      <c r="S335" s="1428">
        <f t="shared" ref="S335:S336" si="211">S339</f>
        <v>35.5</v>
      </c>
    </row>
    <row r="336" spans="1:19" s="22" customFormat="1" ht="15.75" customHeight="1" thickBot="1" x14ac:dyDescent="0.25">
      <c r="A336" s="654"/>
      <c r="B336" s="654"/>
      <c r="C336" s="1933"/>
      <c r="D336" s="1933"/>
      <c r="E336" s="1396" t="s">
        <v>256</v>
      </c>
      <c r="F336" s="937">
        <f>F340+F344+F348</f>
        <v>49724734</v>
      </c>
      <c r="G336" s="937">
        <f t="shared" si="208"/>
        <v>7552044.2300000004</v>
      </c>
      <c r="H336" s="937">
        <f t="shared" si="208"/>
        <v>80443207.760000005</v>
      </c>
      <c r="I336" s="937">
        <f t="shared" si="208"/>
        <v>1350121</v>
      </c>
      <c r="J336" s="937">
        <f t="shared" si="208"/>
        <v>727500</v>
      </c>
      <c r="K336" s="937">
        <f t="shared" ref="K336" si="212">K340+K344+K348</f>
        <v>3790356</v>
      </c>
      <c r="L336" s="937">
        <f t="shared" si="208"/>
        <v>0</v>
      </c>
      <c r="M336" s="937">
        <f t="shared" si="209"/>
        <v>143587962.99000001</v>
      </c>
      <c r="N336" s="937">
        <f>N340+N344+N348</f>
        <v>144387393.06999999</v>
      </c>
      <c r="O336" s="937">
        <f t="shared" si="208"/>
        <v>0</v>
      </c>
      <c r="P336" s="937">
        <f t="shared" si="208"/>
        <v>0</v>
      </c>
      <c r="Q336" s="937">
        <f t="shared" si="208"/>
        <v>0</v>
      </c>
      <c r="R336" s="937">
        <f t="shared" si="210"/>
        <v>287975356.06</v>
      </c>
      <c r="S336" s="1428">
        <f t="shared" si="211"/>
        <v>35.5</v>
      </c>
    </row>
    <row r="337" spans="1:19" s="27" customFormat="1" ht="15.75" customHeight="1" thickBot="1" x14ac:dyDescent="0.25">
      <c r="A337" s="1806" t="s">
        <v>65</v>
      </c>
      <c r="B337" s="1807"/>
      <c r="C337" s="1807"/>
      <c r="D337" s="1807"/>
      <c r="E337" s="1808"/>
      <c r="F337" s="938"/>
      <c r="G337" s="938"/>
      <c r="H337" s="938"/>
      <c r="I337" s="938"/>
      <c r="J337" s="938"/>
      <c r="K337" s="937">
        <f t="shared" ref="K337" si="213">K341+K345+K349</f>
        <v>0</v>
      </c>
      <c r="L337" s="938"/>
      <c r="M337" s="937"/>
      <c r="N337" s="938"/>
      <c r="O337" s="938"/>
      <c r="P337" s="938"/>
      <c r="Q337" s="938"/>
      <c r="R337" s="938"/>
      <c r="S337" s="1429"/>
    </row>
    <row r="338" spans="1:19" s="27" customFormat="1" ht="15.75" customHeight="1" thickBot="1" x14ac:dyDescent="0.25">
      <c r="A338" s="655"/>
      <c r="B338" s="655"/>
      <c r="C338" s="1814"/>
      <c r="D338" s="1814"/>
      <c r="E338" s="1396" t="s">
        <v>254</v>
      </c>
      <c r="F338" s="938">
        <f t="shared" ref="F338:I340" si="214">F118+F166+F170+F174+F178+F182+F186+F194+F206+F218+F266+F302+F310+F318+F326+F330</f>
        <v>54260992</v>
      </c>
      <c r="G338" s="938">
        <f t="shared" si="214"/>
        <v>8939711.879999999</v>
      </c>
      <c r="H338" s="938">
        <f t="shared" si="214"/>
        <v>60068465</v>
      </c>
      <c r="I338" s="938">
        <f t="shared" si="214"/>
        <v>2100000</v>
      </c>
      <c r="J338" s="938">
        <f t="shared" ref="J338:L340" si="215">J118+J266</f>
        <v>750000</v>
      </c>
      <c r="K338" s="938">
        <f t="shared" si="215"/>
        <v>4743411</v>
      </c>
      <c r="L338" s="938">
        <f t="shared" si="215"/>
        <v>4476664</v>
      </c>
      <c r="M338" s="938">
        <f>SUM(F338:L338)</f>
        <v>135339243.88</v>
      </c>
      <c r="N338" s="938">
        <f>N118+N166+N170+N174+N178+N182+N186+N194+N206+N218+N266+N302+N310+N318+N326+N330+N202</f>
        <v>415807475</v>
      </c>
      <c r="O338" s="938">
        <f t="shared" ref="O338:Q340" si="216">O118+O166+O170+O174+O178+O182+O186+O194+O206+O218+O266+O302+O310+O318+O326+O330</f>
        <v>0</v>
      </c>
      <c r="P338" s="938">
        <f t="shared" si="216"/>
        <v>0</v>
      </c>
      <c r="Q338" s="938">
        <f t="shared" si="216"/>
        <v>0</v>
      </c>
      <c r="R338" s="938">
        <f>SUM(M338:Q338)</f>
        <v>551146718.88</v>
      </c>
      <c r="S338" s="1429">
        <f>S118+S166+S218+S266+S302+S310</f>
        <v>40.5</v>
      </c>
    </row>
    <row r="339" spans="1:19" s="27" customFormat="1" ht="15.75" customHeight="1" thickBot="1" x14ac:dyDescent="0.25">
      <c r="A339" s="655"/>
      <c r="B339" s="655"/>
      <c r="C339" s="1814"/>
      <c r="D339" s="1814"/>
      <c r="E339" s="1396" t="s">
        <v>255</v>
      </c>
      <c r="F339" s="938">
        <f t="shared" si="214"/>
        <v>68905219</v>
      </c>
      <c r="G339" s="938">
        <f t="shared" si="214"/>
        <v>11890692</v>
      </c>
      <c r="H339" s="938">
        <f t="shared" si="214"/>
        <v>77326130</v>
      </c>
      <c r="I339" s="938">
        <f t="shared" si="214"/>
        <v>2100000</v>
      </c>
      <c r="J339" s="938">
        <f t="shared" si="215"/>
        <v>750000</v>
      </c>
      <c r="K339" s="938">
        <f t="shared" si="215"/>
        <v>5129411</v>
      </c>
      <c r="L339" s="938">
        <f t="shared" si="215"/>
        <v>7316320</v>
      </c>
      <c r="M339" s="938">
        <f t="shared" ref="M339:M344" si="217">SUM(F339:L339)</f>
        <v>173417772</v>
      </c>
      <c r="N339" s="938">
        <f>N119+N167+N171+N175+N179+N183+N187+N195+N207+N219+N267+N303+N311+N319+N327+N331+N203</f>
        <v>434737238.10000002</v>
      </c>
      <c r="O339" s="938">
        <f t="shared" si="216"/>
        <v>5231394</v>
      </c>
      <c r="P339" s="938">
        <f t="shared" si="216"/>
        <v>0</v>
      </c>
      <c r="Q339" s="938">
        <f t="shared" si="216"/>
        <v>0</v>
      </c>
      <c r="R339" s="938">
        <f t="shared" ref="R339:R340" si="218">SUM(M339:Q339)</f>
        <v>613386404.10000002</v>
      </c>
      <c r="S339" s="1429">
        <f t="shared" ref="S339:S340" si="219">S119+S167+S219+S267+S303+S311</f>
        <v>35.5</v>
      </c>
    </row>
    <row r="340" spans="1:19" s="27" customFormat="1" ht="15.75" customHeight="1" thickBot="1" x14ac:dyDescent="0.25">
      <c r="A340" s="655"/>
      <c r="B340" s="655"/>
      <c r="C340" s="1814"/>
      <c r="D340" s="1814"/>
      <c r="E340" s="1396" t="s">
        <v>256</v>
      </c>
      <c r="F340" s="938">
        <f t="shared" si="214"/>
        <v>48396948</v>
      </c>
      <c r="G340" s="938">
        <f t="shared" si="214"/>
        <v>7342533.2300000004</v>
      </c>
      <c r="H340" s="938">
        <f t="shared" si="214"/>
        <v>72957408.760000005</v>
      </c>
      <c r="I340" s="938">
        <f t="shared" si="214"/>
        <v>1350121</v>
      </c>
      <c r="J340" s="938">
        <f t="shared" si="215"/>
        <v>687500</v>
      </c>
      <c r="K340" s="938">
        <f t="shared" si="215"/>
        <v>3300356</v>
      </c>
      <c r="L340" s="938">
        <f t="shared" si="215"/>
        <v>0</v>
      </c>
      <c r="M340" s="938">
        <f t="shared" si="217"/>
        <v>134034866.99000001</v>
      </c>
      <c r="N340" s="938">
        <f t="shared" ref="N340" si="220">N120+N168+N172+N176+N180+N184+N188+N196+N208+N220+N268+N304+N312+N320+N328+N332+N204</f>
        <v>144342393.06999999</v>
      </c>
      <c r="O340" s="938">
        <f t="shared" si="216"/>
        <v>0</v>
      </c>
      <c r="P340" s="938">
        <f t="shared" si="216"/>
        <v>0</v>
      </c>
      <c r="Q340" s="938">
        <f t="shared" si="216"/>
        <v>0</v>
      </c>
      <c r="R340" s="938">
        <f t="shared" si="218"/>
        <v>278377260.06</v>
      </c>
      <c r="S340" s="1429">
        <f t="shared" si="219"/>
        <v>35.5</v>
      </c>
    </row>
    <row r="341" spans="1:19" s="27" customFormat="1" ht="15.75" customHeight="1" thickBot="1" x14ac:dyDescent="0.25">
      <c r="A341" s="1802" t="s">
        <v>71</v>
      </c>
      <c r="B341" s="1803"/>
      <c r="C341" s="1803"/>
      <c r="D341" s="1803"/>
      <c r="E341" s="1804"/>
      <c r="F341" s="938"/>
      <c r="G341" s="938"/>
      <c r="H341" s="938"/>
      <c r="I341" s="938"/>
      <c r="J341" s="938"/>
      <c r="K341" s="938"/>
      <c r="L341" s="938"/>
      <c r="M341" s="938">
        <f t="shared" si="217"/>
        <v>0</v>
      </c>
      <c r="N341" s="938"/>
      <c r="O341" s="938"/>
      <c r="P341" s="938"/>
      <c r="Q341" s="938"/>
      <c r="R341" s="938"/>
      <c r="S341" s="1429"/>
    </row>
    <row r="342" spans="1:19" s="27" customFormat="1" ht="15.75" customHeight="1" thickBot="1" x14ac:dyDescent="0.25">
      <c r="A342" s="655"/>
      <c r="B342" s="655"/>
      <c r="C342" s="1814"/>
      <c r="D342" s="1814"/>
      <c r="E342" s="1396" t="s">
        <v>254</v>
      </c>
      <c r="F342" s="938"/>
      <c r="G342" s="938"/>
      <c r="H342" s="938"/>
      <c r="I342" s="938"/>
      <c r="J342" s="938"/>
      <c r="K342" s="938"/>
      <c r="L342" s="938"/>
      <c r="M342" s="938">
        <f t="shared" si="217"/>
        <v>0</v>
      </c>
      <c r="N342" s="938"/>
      <c r="O342" s="938"/>
      <c r="P342" s="938"/>
      <c r="Q342" s="938"/>
      <c r="R342" s="938"/>
      <c r="S342" s="1429"/>
    </row>
    <row r="343" spans="1:19" s="27" customFormat="1" ht="15.75" customHeight="1" thickBot="1" x14ac:dyDescent="0.25">
      <c r="A343" s="655"/>
      <c r="B343" s="655"/>
      <c r="C343" s="1814"/>
      <c r="D343" s="1814"/>
      <c r="E343" s="1396" t="s">
        <v>255</v>
      </c>
      <c r="F343" s="938"/>
      <c r="G343" s="938"/>
      <c r="H343" s="938"/>
      <c r="I343" s="938"/>
      <c r="J343" s="938"/>
      <c r="K343" s="938"/>
      <c r="L343" s="938"/>
      <c r="M343" s="938">
        <f t="shared" si="217"/>
        <v>0</v>
      </c>
      <c r="N343" s="938"/>
      <c r="O343" s="938"/>
      <c r="P343" s="938"/>
      <c r="Q343" s="938"/>
      <c r="R343" s="938"/>
      <c r="S343" s="1429"/>
    </row>
    <row r="344" spans="1:19" s="27" customFormat="1" ht="15.75" customHeight="1" thickBot="1" x14ac:dyDescent="0.25">
      <c r="A344" s="655"/>
      <c r="B344" s="655"/>
      <c r="C344" s="1814"/>
      <c r="D344" s="1814"/>
      <c r="E344" s="1396" t="s">
        <v>256</v>
      </c>
      <c r="F344" s="938"/>
      <c r="G344" s="938"/>
      <c r="H344" s="938"/>
      <c r="I344" s="938"/>
      <c r="J344" s="938"/>
      <c r="K344" s="938"/>
      <c r="L344" s="938"/>
      <c r="M344" s="938">
        <f t="shared" si="217"/>
        <v>0</v>
      </c>
      <c r="N344" s="938"/>
      <c r="O344" s="938"/>
      <c r="P344" s="938"/>
      <c r="Q344" s="938"/>
      <c r="R344" s="938"/>
      <c r="S344" s="1429"/>
    </row>
    <row r="345" spans="1:19" s="27" customFormat="1" ht="15.75" customHeight="1" thickBot="1" x14ac:dyDescent="0.25">
      <c r="A345" s="1802" t="s">
        <v>66</v>
      </c>
      <c r="B345" s="1803"/>
      <c r="C345" s="1803"/>
      <c r="D345" s="1803"/>
      <c r="E345" s="1804"/>
      <c r="F345" s="938"/>
      <c r="G345" s="938"/>
      <c r="H345" s="938"/>
      <c r="I345" s="938"/>
      <c r="J345" s="938"/>
      <c r="K345" s="938"/>
      <c r="L345" s="938"/>
      <c r="M345" s="938"/>
      <c r="N345" s="938"/>
      <c r="O345" s="938"/>
      <c r="P345" s="938"/>
      <c r="Q345" s="938"/>
      <c r="R345" s="938"/>
      <c r="S345" s="1429"/>
    </row>
    <row r="346" spans="1:19" s="27" customFormat="1" ht="15.75" customHeight="1" thickBot="1" x14ac:dyDescent="0.25">
      <c r="A346" s="655"/>
      <c r="B346" s="655"/>
      <c r="C346" s="1814"/>
      <c r="D346" s="1814"/>
      <c r="E346" s="1396" t="s">
        <v>254</v>
      </c>
      <c r="F346" s="938">
        <f t="shared" ref="F346:L346" si="221">F322+F270+F214+F210+F198+F122+F314</f>
        <v>300000</v>
      </c>
      <c r="G346" s="938">
        <f t="shared" si="221"/>
        <v>66000</v>
      </c>
      <c r="H346" s="938">
        <f t="shared" si="221"/>
        <v>1000000</v>
      </c>
      <c r="I346" s="938">
        <f t="shared" si="221"/>
        <v>0</v>
      </c>
      <c r="J346" s="938">
        <f t="shared" si="221"/>
        <v>160849</v>
      </c>
      <c r="K346" s="938">
        <f t="shared" si="221"/>
        <v>530000</v>
      </c>
      <c r="L346" s="938">
        <f t="shared" si="221"/>
        <v>0</v>
      </c>
      <c r="M346" s="938">
        <f>SUM(F346:L346)</f>
        <v>2056849</v>
      </c>
      <c r="N346" s="938">
        <f t="shared" ref="N346:Q348" si="222">N322+N270+N214+N210+N198+N122+N314</f>
        <v>0</v>
      </c>
      <c r="O346" s="938">
        <f t="shared" si="222"/>
        <v>0</v>
      </c>
      <c r="P346" s="938">
        <f t="shared" si="222"/>
        <v>0</v>
      </c>
      <c r="Q346" s="938">
        <f t="shared" si="222"/>
        <v>0</v>
      </c>
      <c r="R346" s="938">
        <f>SUM(M346:Q346)</f>
        <v>2056849</v>
      </c>
      <c r="S346" s="1429">
        <v>0</v>
      </c>
    </row>
    <row r="347" spans="1:19" s="27" customFormat="1" ht="15.75" customHeight="1" thickBot="1" x14ac:dyDescent="0.25">
      <c r="A347" s="655"/>
      <c r="B347" s="655"/>
      <c r="C347" s="1814"/>
      <c r="D347" s="1814"/>
      <c r="E347" s="1396" t="s">
        <v>255</v>
      </c>
      <c r="F347" s="938">
        <f t="shared" ref="F347:H348" si="223">F323+F271+F215+F211+F199+F123+F315</f>
        <v>1361345</v>
      </c>
      <c r="G347" s="938">
        <f t="shared" si="223"/>
        <v>216600</v>
      </c>
      <c r="H347" s="938">
        <f t="shared" si="223"/>
        <v>7518689</v>
      </c>
      <c r="I347" s="938">
        <v>0</v>
      </c>
      <c r="J347" s="938">
        <f t="shared" ref="J347:L348" si="224">J323+J271+J215+J211+J199+J123+J315</f>
        <v>160849</v>
      </c>
      <c r="K347" s="938">
        <f t="shared" si="224"/>
        <v>490000</v>
      </c>
      <c r="L347" s="938">
        <f t="shared" si="224"/>
        <v>0</v>
      </c>
      <c r="M347" s="938">
        <f t="shared" ref="M347:M348" si="225">SUM(F347:L347)</f>
        <v>9747483</v>
      </c>
      <c r="N347" s="938">
        <f t="shared" si="222"/>
        <v>45000</v>
      </c>
      <c r="O347" s="938">
        <f t="shared" si="222"/>
        <v>0</v>
      </c>
      <c r="P347" s="938">
        <f t="shared" si="222"/>
        <v>0</v>
      </c>
      <c r="Q347" s="938">
        <f t="shared" si="222"/>
        <v>0</v>
      </c>
      <c r="R347" s="938">
        <f t="shared" ref="R347:R348" si="226">SUM(M347:Q347)</f>
        <v>9792483</v>
      </c>
      <c r="S347" s="1429">
        <v>1</v>
      </c>
    </row>
    <row r="348" spans="1:19" s="27" customFormat="1" ht="15.75" customHeight="1" thickBot="1" x14ac:dyDescent="0.25">
      <c r="A348" s="655"/>
      <c r="B348" s="655"/>
      <c r="C348" s="1814"/>
      <c r="D348" s="1814"/>
      <c r="E348" s="1396" t="s">
        <v>256</v>
      </c>
      <c r="F348" s="938">
        <f t="shared" si="223"/>
        <v>1327786</v>
      </c>
      <c r="G348" s="938">
        <f t="shared" si="223"/>
        <v>209511</v>
      </c>
      <c r="H348" s="938">
        <f t="shared" si="223"/>
        <v>7485799</v>
      </c>
      <c r="I348" s="938">
        <v>0</v>
      </c>
      <c r="J348" s="938">
        <f t="shared" si="224"/>
        <v>40000</v>
      </c>
      <c r="K348" s="938">
        <f t="shared" si="224"/>
        <v>490000</v>
      </c>
      <c r="L348" s="938">
        <f t="shared" si="224"/>
        <v>0</v>
      </c>
      <c r="M348" s="938">
        <f t="shared" si="225"/>
        <v>9553096</v>
      </c>
      <c r="N348" s="938">
        <f t="shared" si="222"/>
        <v>45000</v>
      </c>
      <c r="O348" s="938">
        <f t="shared" si="222"/>
        <v>0</v>
      </c>
      <c r="P348" s="938">
        <f t="shared" si="222"/>
        <v>0</v>
      </c>
      <c r="Q348" s="938">
        <f t="shared" si="222"/>
        <v>0</v>
      </c>
      <c r="R348" s="938">
        <f t="shared" si="226"/>
        <v>9598096</v>
      </c>
      <c r="S348" s="1429">
        <v>1</v>
      </c>
    </row>
    <row r="349" spans="1:19" s="22" customFormat="1" ht="15.75" customHeight="1" x14ac:dyDescent="0.2">
      <c r="A349" s="1809" t="s">
        <v>45</v>
      </c>
      <c r="B349" s="1810"/>
      <c r="C349" s="1810"/>
      <c r="D349" s="1810"/>
      <c r="E349" s="1810"/>
      <c r="F349" s="1810"/>
      <c r="G349" s="1810"/>
      <c r="H349" s="1810"/>
      <c r="I349" s="1810"/>
      <c r="J349" s="1810"/>
      <c r="K349" s="1810"/>
      <c r="L349" s="1810"/>
      <c r="M349" s="1810"/>
      <c r="N349" s="1810"/>
      <c r="O349" s="1810"/>
      <c r="P349" s="1810"/>
      <c r="Q349" s="1810"/>
      <c r="R349" s="1810"/>
      <c r="S349" s="1810"/>
    </row>
    <row r="350" spans="1:19" s="22" customFormat="1" ht="24.75" customHeight="1" x14ac:dyDescent="0.2">
      <c r="A350" s="656"/>
      <c r="B350" s="657"/>
      <c r="C350" s="1935" t="s">
        <v>293</v>
      </c>
      <c r="D350" s="1926" t="s">
        <v>54</v>
      </c>
      <c r="E350" s="1430" t="s">
        <v>193</v>
      </c>
      <c r="F350" s="1016"/>
      <c r="G350" s="1016"/>
      <c r="H350" s="1016"/>
      <c r="I350" s="1016"/>
      <c r="J350" s="1016"/>
      <c r="K350" s="1016"/>
      <c r="L350" s="1016"/>
      <c r="M350" s="1016"/>
      <c r="N350" s="1016"/>
      <c r="O350" s="1016"/>
      <c r="P350" s="1016"/>
      <c r="Q350" s="1016"/>
      <c r="R350" s="1016"/>
      <c r="S350" s="1431"/>
    </row>
    <row r="351" spans="1:19" s="22" customFormat="1" ht="15.75" customHeight="1" x14ac:dyDescent="0.2">
      <c r="A351" s="656"/>
      <c r="B351" s="657"/>
      <c r="C351" s="1936"/>
      <c r="D351" s="1927"/>
      <c r="E351" s="1027" t="s">
        <v>254</v>
      </c>
      <c r="F351" s="1016"/>
      <c r="G351" s="1016"/>
      <c r="H351" s="1016"/>
      <c r="I351" s="1016"/>
      <c r="J351" s="1016">
        <v>100000000</v>
      </c>
      <c r="K351" s="1016"/>
      <c r="L351" s="1016"/>
      <c r="M351" s="1016">
        <f>SUM(F351:L351)</f>
        <v>100000000</v>
      </c>
      <c r="N351" s="1016"/>
      <c r="O351" s="1016"/>
      <c r="P351" s="1016"/>
      <c r="Q351" s="1016"/>
      <c r="R351" s="1016">
        <f>SUM(M351:Q351)</f>
        <v>100000000</v>
      </c>
      <c r="S351" s="1432"/>
    </row>
    <row r="352" spans="1:19" s="22" customFormat="1" ht="15.75" customHeight="1" x14ac:dyDescent="0.2">
      <c r="A352" s="658">
        <v>19</v>
      </c>
      <c r="B352" s="659"/>
      <c r="C352" s="1936"/>
      <c r="D352" s="1927"/>
      <c r="E352" s="1027" t="s">
        <v>255</v>
      </c>
      <c r="F352" s="909"/>
      <c r="G352" s="909"/>
      <c r="H352" s="909"/>
      <c r="I352" s="909"/>
      <c r="J352" s="1433">
        <v>155000000</v>
      </c>
      <c r="K352" s="909"/>
      <c r="L352" s="909"/>
      <c r="M352" s="1016">
        <f t="shared" ref="M352:M353" si="227">SUM(F352:L352)</f>
        <v>155000000</v>
      </c>
      <c r="N352" s="1433"/>
      <c r="O352" s="1434"/>
      <c r="P352" s="909">
        <v>0</v>
      </c>
      <c r="Q352" s="909"/>
      <c r="R352" s="1016">
        <f t="shared" ref="R352:R353" si="228">SUM(M352:Q352)</f>
        <v>155000000</v>
      </c>
      <c r="S352" s="1435">
        <v>0</v>
      </c>
    </row>
    <row r="353" spans="1:19" s="22" customFormat="1" ht="15.75" customHeight="1" x14ac:dyDescent="0.2">
      <c r="A353" s="658"/>
      <c r="B353" s="659"/>
      <c r="C353" s="1937"/>
      <c r="D353" s="1929"/>
      <c r="E353" s="1027" t="s">
        <v>256</v>
      </c>
      <c r="F353" s="909"/>
      <c r="G353" s="909"/>
      <c r="H353" s="909"/>
      <c r="I353" s="909"/>
      <c r="J353" s="909">
        <v>154891094</v>
      </c>
      <c r="K353" s="909"/>
      <c r="L353" s="909"/>
      <c r="M353" s="1016">
        <f t="shared" si="227"/>
        <v>154891094</v>
      </c>
      <c r="N353" s="909"/>
      <c r="O353" s="1436"/>
      <c r="P353" s="909"/>
      <c r="Q353" s="909"/>
      <c r="R353" s="1016">
        <f t="shared" si="228"/>
        <v>154891094</v>
      </c>
      <c r="S353" s="1435"/>
    </row>
    <row r="354" spans="1:19" s="22" customFormat="1" ht="27.75" customHeight="1" x14ac:dyDescent="0.2">
      <c r="A354" s="658"/>
      <c r="B354" s="605"/>
      <c r="C354" s="1938" t="s">
        <v>294</v>
      </c>
      <c r="D354" s="1926" t="s">
        <v>54</v>
      </c>
      <c r="E354" s="870" t="s">
        <v>194</v>
      </c>
      <c r="F354" s="878"/>
      <c r="G354" s="878"/>
      <c r="H354" s="878"/>
      <c r="I354" s="878"/>
      <c r="J354" s="878"/>
      <c r="K354" s="878"/>
      <c r="L354" s="878"/>
      <c r="M354" s="878"/>
      <c r="N354" s="878"/>
      <c r="O354" s="936"/>
      <c r="P354" s="878"/>
      <c r="Q354" s="878"/>
      <c r="R354" s="879"/>
      <c r="S354" s="1437"/>
    </row>
    <row r="355" spans="1:19" s="22" customFormat="1" ht="15.75" customHeight="1" x14ac:dyDescent="0.2">
      <c r="A355" s="658"/>
      <c r="B355" s="605"/>
      <c r="C355" s="1939"/>
      <c r="D355" s="1927"/>
      <c r="E355" s="1027" t="s">
        <v>254</v>
      </c>
      <c r="F355" s="886"/>
      <c r="G355" s="878"/>
      <c r="H355" s="878"/>
      <c r="I355" s="878"/>
      <c r="J355" s="878"/>
      <c r="K355" s="878">
        <v>0</v>
      </c>
      <c r="L355" s="878"/>
      <c r="M355" s="878">
        <f>SUM(K355:L355)</f>
        <v>0</v>
      </c>
      <c r="N355" s="878"/>
      <c r="O355" s="936"/>
      <c r="P355" s="878"/>
      <c r="Q355" s="878"/>
      <c r="R355" s="879">
        <f>SUM(M355:Q355)</f>
        <v>0</v>
      </c>
      <c r="S355" s="1437"/>
    </row>
    <row r="356" spans="1:19" s="22" customFormat="1" ht="15.75" customHeight="1" x14ac:dyDescent="0.2">
      <c r="A356" s="658">
        <v>20</v>
      </c>
      <c r="B356" s="605"/>
      <c r="C356" s="1939"/>
      <c r="D356" s="1927"/>
      <c r="E356" s="1027" t="s">
        <v>255</v>
      </c>
      <c r="F356" s="886"/>
      <c r="G356" s="886"/>
      <c r="H356" s="886"/>
      <c r="I356" s="886"/>
      <c r="J356" s="886"/>
      <c r="K356" s="886">
        <v>8549189</v>
      </c>
      <c r="L356" s="886"/>
      <c r="M356" s="886">
        <f>K356</f>
        <v>8549189</v>
      </c>
      <c r="N356" s="886"/>
      <c r="O356" s="887"/>
      <c r="P356" s="886"/>
      <c r="Q356" s="886"/>
      <c r="R356" s="879">
        <f t="shared" ref="R356:R357" si="229">SUM(M356:Q356)</f>
        <v>8549189</v>
      </c>
      <c r="S356" s="1438"/>
    </row>
    <row r="357" spans="1:19" s="22" customFormat="1" ht="15.75" customHeight="1" thickBot="1" x14ac:dyDescent="0.25">
      <c r="A357" s="660"/>
      <c r="B357" s="661"/>
      <c r="C357" s="1940"/>
      <c r="D357" s="1928"/>
      <c r="E357" s="1027" t="s">
        <v>256</v>
      </c>
      <c r="F357" s="1008"/>
      <c r="G357" s="1008"/>
      <c r="H357" s="1008"/>
      <c r="I357" s="1008"/>
      <c r="J357" s="1008"/>
      <c r="K357" s="1008">
        <v>8549189</v>
      </c>
      <c r="L357" s="1008"/>
      <c r="M357" s="1008">
        <f>K357</f>
        <v>8549189</v>
      </c>
      <c r="N357" s="1439"/>
      <c r="O357" s="1440"/>
      <c r="P357" s="1008"/>
      <c r="Q357" s="1008"/>
      <c r="R357" s="879">
        <f t="shared" si="229"/>
        <v>8549189</v>
      </c>
      <c r="S357" s="1441"/>
    </row>
    <row r="358" spans="1:19" ht="22.5" customHeight="1" thickBot="1" x14ac:dyDescent="0.25">
      <c r="A358" s="1811" t="s">
        <v>612</v>
      </c>
      <c r="B358" s="1811"/>
      <c r="C358" s="1811"/>
      <c r="D358" s="1811"/>
      <c r="E358" s="1811"/>
      <c r="F358" s="1017"/>
      <c r="G358" s="1018"/>
      <c r="H358" s="1018"/>
      <c r="I358" s="1018"/>
      <c r="J358" s="1018"/>
      <c r="K358" s="1018"/>
      <c r="L358" s="1018"/>
      <c r="M358" s="1018"/>
      <c r="N358" s="1442"/>
      <c r="O358" s="1442"/>
      <c r="P358" s="1018"/>
      <c r="Q358" s="1018"/>
      <c r="R358" s="1018"/>
      <c r="S358" s="1443"/>
    </row>
    <row r="359" spans="1:19" ht="15.75" customHeight="1" thickBot="1" x14ac:dyDescent="0.25">
      <c r="A359" s="662"/>
      <c r="B359" s="662"/>
      <c r="C359" s="1815"/>
      <c r="D359" s="1816"/>
      <c r="E359" s="1396" t="s">
        <v>254</v>
      </c>
      <c r="F359" s="1019"/>
      <c r="G359" s="1019"/>
      <c r="H359" s="1019"/>
      <c r="I359" s="1019"/>
      <c r="J359" s="1442">
        <f>J351</f>
        <v>100000000</v>
      </c>
      <c r="K359" s="1442">
        <f>K355</f>
        <v>0</v>
      </c>
      <c r="L359" s="1442"/>
      <c r="M359" s="1442">
        <f>SUM(F359:L359)</f>
        <v>100000000</v>
      </c>
      <c r="N359" s="1442"/>
      <c r="O359" s="1442"/>
      <c r="P359" s="1442"/>
      <c r="Q359" s="1442"/>
      <c r="R359" s="1444">
        <f>SUM(M359:Q359)</f>
        <v>100000000</v>
      </c>
      <c r="S359" s="1445"/>
    </row>
    <row r="360" spans="1:19" ht="15.75" customHeight="1" thickBot="1" x14ac:dyDescent="0.25">
      <c r="A360" s="662"/>
      <c r="B360" s="662"/>
      <c r="C360" s="1817"/>
      <c r="D360" s="1818"/>
      <c r="E360" s="1396" t="s">
        <v>255</v>
      </c>
      <c r="F360" s="1019"/>
      <c r="G360" s="1019"/>
      <c r="H360" s="1019"/>
      <c r="I360" s="1019"/>
      <c r="J360" s="1442">
        <f t="shared" ref="J360:J361" si="230">J352</f>
        <v>155000000</v>
      </c>
      <c r="K360" s="1442">
        <f t="shared" ref="K360:K361" si="231">K356</f>
        <v>8549189</v>
      </c>
      <c r="L360" s="1442"/>
      <c r="M360" s="1442">
        <f t="shared" ref="M360:M361" si="232">SUM(F360:L360)</f>
        <v>163549189</v>
      </c>
      <c r="N360" s="1442"/>
      <c r="O360" s="1442"/>
      <c r="P360" s="1442"/>
      <c r="Q360" s="1442"/>
      <c r="R360" s="1444">
        <f t="shared" ref="R360:R361" si="233">SUM(M360:Q360)</f>
        <v>163549189</v>
      </c>
      <c r="S360" s="1445"/>
    </row>
    <row r="361" spans="1:19" ht="15.75" customHeight="1" thickBot="1" x14ac:dyDescent="0.25">
      <c r="A361" s="662"/>
      <c r="B361" s="662"/>
      <c r="C361" s="1819"/>
      <c r="D361" s="1820"/>
      <c r="E361" s="1396" t="s">
        <v>256</v>
      </c>
      <c r="F361" s="1019"/>
      <c r="G361" s="1019"/>
      <c r="H361" s="1019"/>
      <c r="I361" s="1019"/>
      <c r="J361" s="1442">
        <f t="shared" si="230"/>
        <v>154891094</v>
      </c>
      <c r="K361" s="1442">
        <f t="shared" si="231"/>
        <v>8549189</v>
      </c>
      <c r="L361" s="1442"/>
      <c r="M361" s="1442">
        <f t="shared" si="232"/>
        <v>163440283</v>
      </c>
      <c r="N361" s="1442"/>
      <c r="O361" s="1442"/>
      <c r="P361" s="1442"/>
      <c r="Q361" s="1442"/>
      <c r="R361" s="1444">
        <f t="shared" si="233"/>
        <v>163440283</v>
      </c>
      <c r="S361" s="1445"/>
    </row>
    <row r="362" spans="1:19" ht="15.75" customHeight="1" thickBot="1" x14ac:dyDescent="0.25">
      <c r="A362" s="1799" t="s">
        <v>180</v>
      </c>
      <c r="B362" s="1799"/>
      <c r="C362" s="1799"/>
      <c r="D362" s="1799"/>
      <c r="E362" s="1799"/>
      <c r="F362" s="1020"/>
      <c r="G362" s="1020"/>
      <c r="H362" s="1020"/>
      <c r="I362" s="1020"/>
      <c r="J362" s="1020"/>
      <c r="K362" s="1020"/>
      <c r="L362" s="1020"/>
      <c r="M362" s="1020"/>
      <c r="N362" s="1446"/>
      <c r="O362" s="1020"/>
      <c r="P362" s="1020"/>
      <c r="Q362" s="1020"/>
      <c r="R362" s="1447"/>
      <c r="S362" s="1448"/>
    </row>
    <row r="363" spans="1:19" ht="15.75" customHeight="1" thickBot="1" x14ac:dyDescent="0.25">
      <c r="A363" s="663"/>
      <c r="B363" s="663"/>
      <c r="C363" s="1812"/>
      <c r="D363" s="1812"/>
      <c r="E363" s="1449" t="s">
        <v>254</v>
      </c>
      <c r="F363" s="1020">
        <f>F367+F371+F375</f>
        <v>151696653</v>
      </c>
      <c r="G363" s="1020">
        <f t="shared" ref="G363:L363" si="234">G367+G371+G375</f>
        <v>28881559.43</v>
      </c>
      <c r="H363" s="1020">
        <f t="shared" si="234"/>
        <v>105517465</v>
      </c>
      <c r="I363" s="1020">
        <f t="shared" si="234"/>
        <v>3919000</v>
      </c>
      <c r="J363" s="1020">
        <f>J367+J371+J375</f>
        <v>910849</v>
      </c>
      <c r="K363" s="1020">
        <f t="shared" si="234"/>
        <v>5273411</v>
      </c>
      <c r="L363" s="1020">
        <f t="shared" si="234"/>
        <v>4476664</v>
      </c>
      <c r="M363" s="1020">
        <f>SUM(F363:L363)</f>
        <v>300675601.43000001</v>
      </c>
      <c r="N363" s="1446">
        <f>N367+N371+N375</f>
        <v>418407475</v>
      </c>
      <c r="O363" s="1020"/>
      <c r="P363" s="1020"/>
      <c r="Q363" s="1020"/>
      <c r="R363" s="1447">
        <f>SUM(M363:Q363)</f>
        <v>719083076.43000007</v>
      </c>
      <c r="S363" s="1448"/>
    </row>
    <row r="364" spans="1:19" ht="15.75" customHeight="1" thickBot="1" x14ac:dyDescent="0.25">
      <c r="A364" s="663"/>
      <c r="B364" s="663"/>
      <c r="C364" s="1812"/>
      <c r="D364" s="1812"/>
      <c r="E364" s="1449" t="s">
        <v>255</v>
      </c>
      <c r="F364" s="1020">
        <f t="shared" ref="F364:L365" si="235">F368+F372+F376</f>
        <v>168513217</v>
      </c>
      <c r="G364" s="1020">
        <f t="shared" si="235"/>
        <v>32215966</v>
      </c>
      <c r="H364" s="1020">
        <f t="shared" si="235"/>
        <v>136138309</v>
      </c>
      <c r="I364" s="1020">
        <f t="shared" si="235"/>
        <v>3919000</v>
      </c>
      <c r="J364" s="1020">
        <f t="shared" si="235"/>
        <v>910849</v>
      </c>
      <c r="K364" s="1020">
        <f t="shared" si="235"/>
        <v>5619411</v>
      </c>
      <c r="L364" s="1020">
        <f t="shared" si="235"/>
        <v>7316320</v>
      </c>
      <c r="M364" s="1020">
        <f t="shared" ref="M364:M365" si="236">SUM(F364:L364)</f>
        <v>354633072</v>
      </c>
      <c r="N364" s="1446">
        <f t="shared" ref="N364" si="237">N368+N372+N376</f>
        <v>437348197.10000002</v>
      </c>
      <c r="O364" s="1020"/>
      <c r="P364" s="1020"/>
      <c r="Q364" s="1020"/>
      <c r="R364" s="1447">
        <f t="shared" ref="R364:R377" si="238">SUM(M364:Q364)</f>
        <v>791981269.10000002</v>
      </c>
      <c r="S364" s="1448"/>
    </row>
    <row r="365" spans="1:19" ht="15.75" customHeight="1" thickBot="1" x14ac:dyDescent="0.25">
      <c r="A365" s="663"/>
      <c r="B365" s="663"/>
      <c r="C365" s="1812"/>
      <c r="D365" s="1812"/>
      <c r="E365" s="1449" t="s">
        <v>256</v>
      </c>
      <c r="F365" s="1020">
        <f>F369+F373+F377</f>
        <v>139289116</v>
      </c>
      <c r="G365" s="1020">
        <f t="shared" si="235"/>
        <v>25434764.23</v>
      </c>
      <c r="H365" s="1020">
        <f>H369+H373+H377</f>
        <v>131520692.76000001</v>
      </c>
      <c r="I365" s="1020">
        <f t="shared" si="235"/>
        <v>2866121</v>
      </c>
      <c r="J365" s="1020">
        <f t="shared" si="235"/>
        <v>727500</v>
      </c>
      <c r="K365" s="1020">
        <f t="shared" si="235"/>
        <v>3790356</v>
      </c>
      <c r="L365" s="1020">
        <f t="shared" si="235"/>
        <v>0</v>
      </c>
      <c r="M365" s="1020">
        <f t="shared" si="236"/>
        <v>303628549.99000001</v>
      </c>
      <c r="N365" s="1446">
        <f>N369+N373+N377</f>
        <v>146950891.06999999</v>
      </c>
      <c r="O365" s="1020"/>
      <c r="P365" s="1020"/>
      <c r="Q365" s="1020"/>
      <c r="R365" s="1447">
        <f t="shared" si="238"/>
        <v>450579441.06</v>
      </c>
      <c r="S365" s="1448"/>
    </row>
    <row r="366" spans="1:19" s="25" customFormat="1" ht="15.75" customHeight="1" thickBot="1" x14ac:dyDescent="0.25">
      <c r="A366" s="1800" t="s">
        <v>65</v>
      </c>
      <c r="B366" s="1800"/>
      <c r="C366" s="1800"/>
      <c r="D366" s="1800"/>
      <c r="E366" s="1800"/>
      <c r="F366" s="1021"/>
      <c r="G366" s="1021"/>
      <c r="H366" s="1021"/>
      <c r="I366" s="1021"/>
      <c r="J366" s="1021"/>
      <c r="K366" s="1021"/>
      <c r="L366" s="1021"/>
      <c r="M366" s="1450"/>
      <c r="N366" s="1021"/>
      <c r="O366" s="1021"/>
      <c r="P366" s="1021"/>
      <c r="Q366" s="1021"/>
      <c r="R366" s="1447"/>
      <c r="S366" s="1451"/>
    </row>
    <row r="367" spans="1:19" s="25" customFormat="1" ht="15.75" customHeight="1" thickBot="1" x14ac:dyDescent="0.25">
      <c r="A367" s="664"/>
      <c r="B367" s="664"/>
      <c r="C367" s="1801"/>
      <c r="D367" s="1801"/>
      <c r="E367" s="1452" t="s">
        <v>254</v>
      </c>
      <c r="F367" s="1021">
        <f t="shared" ref="F367:Q367" si="239">F338+F101</f>
        <v>137063130</v>
      </c>
      <c r="G367" s="1021">
        <f t="shared" si="239"/>
        <v>25948854.829999998</v>
      </c>
      <c r="H367" s="1021">
        <f t="shared" si="239"/>
        <v>101471495</v>
      </c>
      <c r="I367" s="1021">
        <f t="shared" si="239"/>
        <v>3919000</v>
      </c>
      <c r="J367" s="1021">
        <f t="shared" si="239"/>
        <v>750000</v>
      </c>
      <c r="K367" s="1021">
        <f t="shared" si="239"/>
        <v>4743411</v>
      </c>
      <c r="L367" s="1021">
        <f t="shared" si="239"/>
        <v>4476664</v>
      </c>
      <c r="M367" s="1021">
        <f t="shared" si="239"/>
        <v>278372554.82999998</v>
      </c>
      <c r="N367" s="1021">
        <f>N338+N101</f>
        <v>417407475</v>
      </c>
      <c r="O367" s="1021">
        <f t="shared" si="239"/>
        <v>0</v>
      </c>
      <c r="P367" s="1021">
        <f t="shared" si="239"/>
        <v>0</v>
      </c>
      <c r="Q367" s="1021">
        <f t="shared" si="239"/>
        <v>0</v>
      </c>
      <c r="R367" s="1447">
        <f t="shared" si="238"/>
        <v>695780029.82999992</v>
      </c>
      <c r="S367" s="1451"/>
    </row>
    <row r="368" spans="1:19" s="25" customFormat="1" ht="15.75" customHeight="1" thickBot="1" x14ac:dyDescent="0.25">
      <c r="A368" s="664"/>
      <c r="B368" s="664"/>
      <c r="C368" s="1801"/>
      <c r="D368" s="1801"/>
      <c r="E368" s="1452" t="s">
        <v>255</v>
      </c>
      <c r="F368" s="1021">
        <f t="shared" ref="F368:Q368" si="240">F339+F102</f>
        <v>155310654</v>
      </c>
      <c r="G368" s="1021">
        <f t="shared" si="240"/>
        <v>29642200</v>
      </c>
      <c r="H368" s="1021">
        <f t="shared" si="240"/>
        <v>123767443</v>
      </c>
      <c r="I368" s="1021">
        <f t="shared" si="240"/>
        <v>3919000</v>
      </c>
      <c r="J368" s="1021">
        <f t="shared" si="240"/>
        <v>750000</v>
      </c>
      <c r="K368" s="1021">
        <f t="shared" si="240"/>
        <v>5129411</v>
      </c>
      <c r="L368" s="1021">
        <f t="shared" si="240"/>
        <v>7316320</v>
      </c>
      <c r="M368" s="1021">
        <f t="shared" si="240"/>
        <v>325835028</v>
      </c>
      <c r="N368" s="1021">
        <f t="shared" si="240"/>
        <v>436017285.10000002</v>
      </c>
      <c r="O368" s="1021">
        <f t="shared" si="240"/>
        <v>5231394</v>
      </c>
      <c r="P368" s="1021">
        <f t="shared" si="240"/>
        <v>0</v>
      </c>
      <c r="Q368" s="1021">
        <f t="shared" si="240"/>
        <v>0</v>
      </c>
      <c r="R368" s="1447">
        <f t="shared" si="238"/>
        <v>767083707.10000002</v>
      </c>
      <c r="S368" s="1451"/>
    </row>
    <row r="369" spans="1:19" s="25" customFormat="1" ht="15.75" customHeight="1" thickBot="1" x14ac:dyDescent="0.25">
      <c r="A369" s="664"/>
      <c r="B369" s="664"/>
      <c r="C369" s="1801"/>
      <c r="D369" s="1801"/>
      <c r="E369" s="1452" t="s">
        <v>256</v>
      </c>
      <c r="F369" s="1021">
        <f t="shared" ref="F369:Q369" si="241">F340+F103</f>
        <v>126465212</v>
      </c>
      <c r="G369" s="1021">
        <f t="shared" si="241"/>
        <v>22890157.23</v>
      </c>
      <c r="H369" s="1021">
        <f t="shared" si="241"/>
        <v>119215985.76000001</v>
      </c>
      <c r="I369" s="1021">
        <f t="shared" si="241"/>
        <v>2866121</v>
      </c>
      <c r="J369" s="1021">
        <f t="shared" si="241"/>
        <v>687500</v>
      </c>
      <c r="K369" s="1021">
        <f t="shared" si="241"/>
        <v>3300356</v>
      </c>
      <c r="L369" s="1021">
        <f t="shared" si="241"/>
        <v>0</v>
      </c>
      <c r="M369" s="1021">
        <f t="shared" si="241"/>
        <v>275425331.99000001</v>
      </c>
      <c r="N369" s="1021">
        <f t="shared" si="241"/>
        <v>145620001.06999999</v>
      </c>
      <c r="O369" s="1021">
        <f t="shared" si="241"/>
        <v>0</v>
      </c>
      <c r="P369" s="1021">
        <f t="shared" si="241"/>
        <v>0</v>
      </c>
      <c r="Q369" s="1021">
        <f t="shared" si="241"/>
        <v>0</v>
      </c>
      <c r="R369" s="1447">
        <f t="shared" si="238"/>
        <v>421045333.06</v>
      </c>
      <c r="S369" s="1451"/>
    </row>
    <row r="370" spans="1:19" s="25" customFormat="1" ht="15.75" customHeight="1" thickBot="1" x14ac:dyDescent="0.25">
      <c r="A370" s="1800" t="s">
        <v>71</v>
      </c>
      <c r="B370" s="1800"/>
      <c r="C370" s="1800"/>
      <c r="D370" s="1800"/>
      <c r="E370" s="1800"/>
      <c r="F370" s="1021"/>
      <c r="G370" s="1021"/>
      <c r="H370" s="1021"/>
      <c r="I370" s="1021"/>
      <c r="J370" s="1021"/>
      <c r="K370" s="1021"/>
      <c r="L370" s="1021"/>
      <c r="M370" s="1021">
        <f t="shared" ref="M370:N377" si="242">M341+M104</f>
        <v>0</v>
      </c>
      <c r="N370" s="1021"/>
      <c r="O370" s="1021"/>
      <c r="P370" s="1021"/>
      <c r="Q370" s="1021"/>
      <c r="R370" s="1447">
        <f t="shared" si="238"/>
        <v>0</v>
      </c>
      <c r="S370" s="1451"/>
    </row>
    <row r="371" spans="1:19" s="25" customFormat="1" ht="15.75" customHeight="1" thickBot="1" x14ac:dyDescent="0.25">
      <c r="A371" s="664"/>
      <c r="B371" s="664"/>
      <c r="C371" s="1801"/>
      <c r="D371" s="1801"/>
      <c r="E371" s="1452" t="s">
        <v>254</v>
      </c>
      <c r="F371" s="1021"/>
      <c r="G371" s="1021"/>
      <c r="H371" s="1021"/>
      <c r="I371" s="1021"/>
      <c r="J371" s="1021"/>
      <c r="K371" s="1021"/>
      <c r="L371" s="1021"/>
      <c r="M371" s="1021">
        <f t="shared" si="242"/>
        <v>0</v>
      </c>
      <c r="N371" s="1021"/>
      <c r="O371" s="1021"/>
      <c r="P371" s="1021"/>
      <c r="Q371" s="1021"/>
      <c r="R371" s="1447">
        <f t="shared" si="238"/>
        <v>0</v>
      </c>
      <c r="S371" s="1451"/>
    </row>
    <row r="372" spans="1:19" s="25" customFormat="1" ht="15.75" customHeight="1" thickBot="1" x14ac:dyDescent="0.25">
      <c r="A372" s="664"/>
      <c r="B372" s="664"/>
      <c r="C372" s="1801"/>
      <c r="D372" s="1801"/>
      <c r="E372" s="1452" t="s">
        <v>255</v>
      </c>
      <c r="F372" s="1021"/>
      <c r="G372" s="1021"/>
      <c r="H372" s="1021"/>
      <c r="I372" s="1021"/>
      <c r="J372" s="1021"/>
      <c r="K372" s="1021"/>
      <c r="L372" s="1021"/>
      <c r="M372" s="1021">
        <f t="shared" si="242"/>
        <v>0</v>
      </c>
      <c r="N372" s="1021"/>
      <c r="O372" s="1021"/>
      <c r="P372" s="1021"/>
      <c r="Q372" s="1021"/>
      <c r="R372" s="1447">
        <f t="shared" si="238"/>
        <v>0</v>
      </c>
      <c r="S372" s="1451"/>
    </row>
    <row r="373" spans="1:19" s="25" customFormat="1" ht="15.75" customHeight="1" thickBot="1" x14ac:dyDescent="0.25">
      <c r="A373" s="664"/>
      <c r="B373" s="664"/>
      <c r="C373" s="1801"/>
      <c r="D373" s="1801"/>
      <c r="E373" s="1452" t="s">
        <v>256</v>
      </c>
      <c r="F373" s="1021"/>
      <c r="G373" s="1021"/>
      <c r="H373" s="1021"/>
      <c r="I373" s="1021"/>
      <c r="J373" s="1021"/>
      <c r="K373" s="1021"/>
      <c r="L373" s="1021"/>
      <c r="M373" s="1021">
        <f t="shared" si="242"/>
        <v>0</v>
      </c>
      <c r="N373" s="1021"/>
      <c r="O373" s="1021"/>
      <c r="P373" s="1021"/>
      <c r="Q373" s="1021"/>
      <c r="R373" s="1447">
        <f t="shared" si="238"/>
        <v>0</v>
      </c>
      <c r="S373" s="1451"/>
    </row>
    <row r="374" spans="1:19" s="25" customFormat="1" ht="15.75" customHeight="1" thickBot="1" x14ac:dyDescent="0.25">
      <c r="A374" s="1800" t="s">
        <v>66</v>
      </c>
      <c r="B374" s="1800"/>
      <c r="C374" s="1800"/>
      <c r="D374" s="1800"/>
      <c r="E374" s="1800"/>
      <c r="F374" s="1021"/>
      <c r="G374" s="1021"/>
      <c r="H374" s="1021"/>
      <c r="I374" s="1021"/>
      <c r="J374" s="1021"/>
      <c r="K374" s="1021"/>
      <c r="L374" s="1021"/>
      <c r="M374" s="1021">
        <f t="shared" si="242"/>
        <v>0</v>
      </c>
      <c r="N374" s="1021"/>
      <c r="O374" s="1021"/>
      <c r="P374" s="1021"/>
      <c r="Q374" s="1021"/>
      <c r="R374" s="1447"/>
      <c r="S374" s="1451"/>
    </row>
    <row r="375" spans="1:19" ht="15.75" customHeight="1" thickBot="1" x14ac:dyDescent="0.25">
      <c r="A375" s="665"/>
      <c r="B375" s="666"/>
      <c r="C375" s="1812"/>
      <c r="D375" s="1812"/>
      <c r="E375" s="1452" t="s">
        <v>254</v>
      </c>
      <c r="F375" s="1022">
        <f t="shared" ref="F375:L375" si="243">F346+F109</f>
        <v>14633523</v>
      </c>
      <c r="G375" s="1022">
        <f t="shared" si="243"/>
        <v>2932704.6</v>
      </c>
      <c r="H375" s="1022">
        <f t="shared" si="243"/>
        <v>4045970</v>
      </c>
      <c r="I375" s="1022">
        <f t="shared" si="243"/>
        <v>0</v>
      </c>
      <c r="J375" s="1022">
        <f t="shared" si="243"/>
        <v>160849</v>
      </c>
      <c r="K375" s="1022">
        <f t="shared" si="243"/>
        <v>530000</v>
      </c>
      <c r="L375" s="1022">
        <f t="shared" si="243"/>
        <v>0</v>
      </c>
      <c r="M375" s="1021">
        <f t="shared" si="242"/>
        <v>22303046.600000001</v>
      </c>
      <c r="N375" s="1022">
        <f>N346+N109</f>
        <v>1000000</v>
      </c>
      <c r="O375" s="1022">
        <f>O346+O109</f>
        <v>0</v>
      </c>
      <c r="P375" s="1022">
        <f>P346+P109</f>
        <v>0</v>
      </c>
      <c r="Q375" s="1022">
        <f>Q346+Q109</f>
        <v>0</v>
      </c>
      <c r="R375" s="1447">
        <f t="shared" si="238"/>
        <v>23303046.600000001</v>
      </c>
      <c r="S375" s="1022"/>
    </row>
    <row r="376" spans="1:19" ht="15.75" customHeight="1" thickBot="1" x14ac:dyDescent="0.25">
      <c r="A376" s="665"/>
      <c r="B376" s="666"/>
      <c r="C376" s="1812"/>
      <c r="D376" s="1812"/>
      <c r="E376" s="1452" t="s">
        <v>255</v>
      </c>
      <c r="F376" s="1022">
        <f t="shared" ref="F376:J377" si="244">F347+F110</f>
        <v>13202563</v>
      </c>
      <c r="G376" s="1022">
        <f t="shared" si="244"/>
        <v>2573766</v>
      </c>
      <c r="H376" s="1022">
        <f t="shared" si="244"/>
        <v>12370866</v>
      </c>
      <c r="I376" s="1022">
        <f t="shared" si="244"/>
        <v>0</v>
      </c>
      <c r="J376" s="1022">
        <f t="shared" si="244"/>
        <v>160849</v>
      </c>
      <c r="K376" s="1022">
        <f>K110+K123+K215+K271+K323</f>
        <v>490000</v>
      </c>
      <c r="L376" s="1022">
        <f>L110+L123+L215+L271+L323</f>
        <v>0</v>
      </c>
      <c r="M376" s="1021">
        <f t="shared" si="242"/>
        <v>28798044</v>
      </c>
      <c r="N376" s="1022">
        <f t="shared" si="242"/>
        <v>1330912</v>
      </c>
      <c r="O376" s="1022">
        <f t="shared" ref="O376:Q377" si="245">O110+O123+O215+O271+O323</f>
        <v>0</v>
      </c>
      <c r="P376" s="1022">
        <f t="shared" si="245"/>
        <v>0</v>
      </c>
      <c r="Q376" s="1022">
        <f t="shared" si="245"/>
        <v>0</v>
      </c>
      <c r="R376" s="1447">
        <f t="shared" si="238"/>
        <v>30128956</v>
      </c>
      <c r="S376" s="1022"/>
    </row>
    <row r="377" spans="1:19" ht="15.75" customHeight="1" thickBot="1" x14ac:dyDescent="0.25">
      <c r="A377" s="665"/>
      <c r="B377" s="666"/>
      <c r="C377" s="1813"/>
      <c r="D377" s="1813"/>
      <c r="E377" s="1453" t="s">
        <v>256</v>
      </c>
      <c r="F377" s="1023">
        <f t="shared" si="244"/>
        <v>12823904</v>
      </c>
      <c r="G377" s="1023">
        <f t="shared" si="244"/>
        <v>2544607</v>
      </c>
      <c r="H377" s="1023">
        <f t="shared" si="244"/>
        <v>12304707</v>
      </c>
      <c r="I377" s="1023">
        <f t="shared" si="244"/>
        <v>0</v>
      </c>
      <c r="J377" s="1023">
        <f t="shared" si="244"/>
        <v>40000</v>
      </c>
      <c r="K377" s="1023">
        <f>K111+K124+K216+K272+K324</f>
        <v>490000</v>
      </c>
      <c r="L377" s="1023">
        <f>L111+L124+L216+L272+L324</f>
        <v>0</v>
      </c>
      <c r="M377" s="1454">
        <f t="shared" si="242"/>
        <v>28203218</v>
      </c>
      <c r="N377" s="1022">
        <f t="shared" si="242"/>
        <v>1330890</v>
      </c>
      <c r="O377" s="1023">
        <f t="shared" si="245"/>
        <v>0</v>
      </c>
      <c r="P377" s="1023">
        <f t="shared" si="245"/>
        <v>0</v>
      </c>
      <c r="Q377" s="1023">
        <f t="shared" si="245"/>
        <v>0</v>
      </c>
      <c r="R377" s="1455">
        <f t="shared" si="238"/>
        <v>29534108</v>
      </c>
      <c r="S377" s="1023"/>
    </row>
    <row r="378" spans="1:19" ht="15.75" customHeight="1" thickTop="1" x14ac:dyDescent="0.2">
      <c r="A378" s="667"/>
      <c r="B378" s="620"/>
      <c r="C378" s="1796" t="s">
        <v>608</v>
      </c>
      <c r="D378" s="1797"/>
      <c r="E378" s="1797"/>
      <c r="F378" s="1797"/>
      <c r="G378" s="1797"/>
      <c r="H378" s="1797"/>
      <c r="I378" s="1797"/>
      <c r="J378" s="1797"/>
      <c r="K378" s="1797"/>
      <c r="L378" s="1797"/>
      <c r="M378" s="1797"/>
      <c r="N378" s="1797"/>
      <c r="O378" s="1797"/>
      <c r="P378" s="1797"/>
      <c r="Q378" s="1797"/>
      <c r="R378" s="1797"/>
      <c r="S378" s="1798"/>
    </row>
    <row r="379" spans="1:19" ht="15.75" customHeight="1" x14ac:dyDescent="0.2">
      <c r="A379" s="667"/>
      <c r="B379" s="620"/>
      <c r="C379" s="1456"/>
      <c r="D379" s="1457"/>
      <c r="E379" s="1458" t="s">
        <v>254</v>
      </c>
      <c r="F379" s="1024">
        <f>F359+F363</f>
        <v>151696653</v>
      </c>
      <c r="G379" s="1024">
        <f t="shared" ref="G379:Q379" si="246">G359+G363</f>
        <v>28881559.43</v>
      </c>
      <c r="H379" s="1024">
        <f t="shared" si="246"/>
        <v>105517465</v>
      </c>
      <c r="I379" s="1024">
        <f t="shared" si="246"/>
        <v>3919000</v>
      </c>
      <c r="J379" s="1024">
        <f t="shared" si="246"/>
        <v>100910849</v>
      </c>
      <c r="K379" s="1024">
        <f t="shared" si="246"/>
        <v>5273411</v>
      </c>
      <c r="L379" s="1024">
        <f t="shared" si="246"/>
        <v>4476664</v>
      </c>
      <c r="M379" s="1024">
        <f>SUM(F379:L379)</f>
        <v>400675601.43000001</v>
      </c>
      <c r="N379" s="1024">
        <f t="shared" si="246"/>
        <v>418407475</v>
      </c>
      <c r="O379" s="1024">
        <f t="shared" si="246"/>
        <v>0</v>
      </c>
      <c r="P379" s="1024">
        <f t="shared" si="246"/>
        <v>0</v>
      </c>
      <c r="Q379" s="1024">
        <f t="shared" si="246"/>
        <v>0</v>
      </c>
      <c r="R379" s="1024">
        <f>SUM(M379:N379)</f>
        <v>819083076.43000007</v>
      </c>
      <c r="S379" s="1459">
        <f>S334+S97</f>
        <v>74</v>
      </c>
    </row>
    <row r="380" spans="1:19" ht="15.75" customHeight="1" x14ac:dyDescent="0.2">
      <c r="A380" s="667"/>
      <c r="B380" s="620"/>
      <c r="C380" s="1456"/>
      <c r="D380" s="1457"/>
      <c r="E380" s="1458" t="s">
        <v>255</v>
      </c>
      <c r="F380" s="1024">
        <f t="shared" ref="F380:Q381" si="247">F360+F364</f>
        <v>168513217</v>
      </c>
      <c r="G380" s="1024">
        <f t="shared" si="247"/>
        <v>32215966</v>
      </c>
      <c r="H380" s="1024">
        <f t="shared" si="247"/>
        <v>136138309</v>
      </c>
      <c r="I380" s="1024">
        <f t="shared" si="247"/>
        <v>3919000</v>
      </c>
      <c r="J380" s="1024">
        <f t="shared" si="247"/>
        <v>155910849</v>
      </c>
      <c r="K380" s="1024">
        <f t="shared" si="247"/>
        <v>14168600</v>
      </c>
      <c r="L380" s="1024">
        <f t="shared" si="247"/>
        <v>7316320</v>
      </c>
      <c r="M380" s="1024">
        <f>SUM(F380:L380)</f>
        <v>518182261</v>
      </c>
      <c r="N380" s="1024">
        <f t="shared" si="247"/>
        <v>437348197.10000002</v>
      </c>
      <c r="O380" s="1024">
        <f t="shared" si="247"/>
        <v>0</v>
      </c>
      <c r="P380" s="1024">
        <f t="shared" si="247"/>
        <v>0</v>
      </c>
      <c r="Q380" s="1024">
        <f t="shared" si="247"/>
        <v>0</v>
      </c>
      <c r="R380" s="1024">
        <f t="shared" ref="R380" si="248">SUM(M380:N380)</f>
        <v>955530458.10000002</v>
      </c>
      <c r="S380" s="1459">
        <f t="shared" ref="S380:S381" si="249">S335+S98</f>
        <v>69</v>
      </c>
    </row>
    <row r="381" spans="1:19" ht="15.75" customHeight="1" thickBot="1" x14ac:dyDescent="0.25">
      <c r="A381" s="667"/>
      <c r="B381" s="620"/>
      <c r="C381" s="1460"/>
      <c r="D381" s="1461"/>
      <c r="E381" s="1462" t="s">
        <v>256</v>
      </c>
      <c r="F381" s="1025">
        <f t="shared" si="247"/>
        <v>139289116</v>
      </c>
      <c r="G381" s="1025">
        <f t="shared" si="247"/>
        <v>25434764.23</v>
      </c>
      <c r="H381" s="1025">
        <f t="shared" si="247"/>
        <v>131520692.76000001</v>
      </c>
      <c r="I381" s="1025">
        <f t="shared" si="247"/>
        <v>2866121</v>
      </c>
      <c r="J381" s="1025">
        <f t="shared" si="247"/>
        <v>155618594</v>
      </c>
      <c r="K381" s="1025">
        <f t="shared" si="247"/>
        <v>12339545</v>
      </c>
      <c r="L381" s="1025">
        <f t="shared" si="247"/>
        <v>0</v>
      </c>
      <c r="M381" s="1025">
        <f>SUM(F381:L381)</f>
        <v>467068832.99000001</v>
      </c>
      <c r="N381" s="1025">
        <f t="shared" si="247"/>
        <v>146950891.06999999</v>
      </c>
      <c r="O381" s="1025">
        <f t="shared" si="247"/>
        <v>0</v>
      </c>
      <c r="P381" s="1025">
        <f t="shared" si="247"/>
        <v>0</v>
      </c>
      <c r="Q381" s="1025">
        <f t="shared" si="247"/>
        <v>0</v>
      </c>
      <c r="R381" s="1025">
        <f>SUM(M381:N381)-1</f>
        <v>614019723.05999994</v>
      </c>
      <c r="S381" s="1459">
        <f t="shared" si="249"/>
        <v>69</v>
      </c>
    </row>
    <row r="382" spans="1:19" ht="15.75" customHeight="1" thickTop="1" x14ac:dyDescent="0.2">
      <c r="A382" s="667"/>
      <c r="B382" s="620"/>
      <c r="C382" s="1463"/>
      <c r="D382" s="1464"/>
      <c r="E382" s="1005"/>
      <c r="F382" s="1005"/>
      <c r="G382" s="1005"/>
      <c r="H382" s="1005"/>
      <c r="I382" s="1005"/>
      <c r="J382" s="1005"/>
      <c r="K382" s="1005"/>
      <c r="L382" s="1005"/>
      <c r="M382" s="1005"/>
      <c r="N382" s="1005"/>
      <c r="O382" s="1005"/>
      <c r="P382" s="1005"/>
      <c r="Q382" s="1005"/>
      <c r="R382" s="935"/>
      <c r="S382" s="1005"/>
    </row>
    <row r="383" spans="1:19" ht="15.75" customHeight="1" x14ac:dyDescent="0.2">
      <c r="A383" s="667"/>
      <c r="B383" s="620"/>
      <c r="C383" s="1463"/>
      <c r="D383" s="1464"/>
      <c r="E383" s="1005"/>
      <c r="F383" s="1005"/>
      <c r="G383" s="1005"/>
      <c r="H383" s="1005"/>
      <c r="I383" s="1005"/>
      <c r="J383" s="1005"/>
      <c r="K383" s="1005"/>
      <c r="L383" s="1005"/>
      <c r="M383" s="935"/>
      <c r="N383" s="1005"/>
      <c r="O383" s="1005"/>
      <c r="P383" s="1005"/>
      <c r="Q383" s="1005"/>
      <c r="R383" s="935"/>
      <c r="S383" s="1465"/>
    </row>
    <row r="384" spans="1:19" ht="15.75" customHeight="1" x14ac:dyDescent="0.2">
      <c r="A384" s="667"/>
      <c r="B384" s="620"/>
      <c r="C384" s="1463"/>
      <c r="D384" s="1464"/>
      <c r="E384" s="1005"/>
      <c r="F384" s="1005"/>
      <c r="G384" s="1005"/>
      <c r="H384" s="1005"/>
      <c r="I384" s="1005"/>
      <c r="J384" s="1005"/>
      <c r="K384" s="1005"/>
      <c r="L384" s="1005"/>
      <c r="M384" s="935"/>
      <c r="N384" s="1005"/>
      <c r="O384" s="1005"/>
      <c r="P384" s="1005"/>
      <c r="Q384" s="1005"/>
      <c r="R384" s="935"/>
      <c r="S384" s="1005"/>
    </row>
    <row r="385" spans="1:19" ht="15.75" customHeight="1" x14ac:dyDescent="0.2">
      <c r="A385" s="667"/>
      <c r="B385" s="620"/>
      <c r="C385" s="1463"/>
      <c r="D385" s="1464"/>
      <c r="E385" s="1005"/>
      <c r="F385" s="1005"/>
      <c r="G385" s="1005"/>
      <c r="H385" s="1005"/>
      <c r="I385" s="1005"/>
      <c r="J385" s="1005"/>
      <c r="K385" s="1005"/>
      <c r="L385" s="1005"/>
      <c r="M385" s="935"/>
      <c r="N385" s="1005"/>
      <c r="O385" s="1005"/>
      <c r="P385" s="1005"/>
      <c r="Q385" s="1005"/>
      <c r="R385" s="935"/>
      <c r="S385" s="1005"/>
    </row>
    <row r="386" spans="1:19" ht="15.75" customHeight="1" x14ac:dyDescent="0.2">
      <c r="A386" s="667"/>
      <c r="B386" s="620"/>
      <c r="C386" s="1463"/>
      <c r="D386" s="1464"/>
      <c r="E386" s="1005"/>
      <c r="F386" s="1005"/>
      <c r="G386" s="1005"/>
      <c r="H386" s="1005"/>
      <c r="I386" s="1005"/>
      <c r="J386" s="1005"/>
      <c r="K386" s="1005"/>
      <c r="L386" s="1005"/>
      <c r="M386" s="935"/>
      <c r="N386" s="1005"/>
      <c r="O386" s="1005"/>
      <c r="P386" s="1005"/>
      <c r="Q386" s="1005"/>
      <c r="R386" s="935"/>
      <c r="S386" s="1466"/>
    </row>
    <row r="387" spans="1:19" ht="15.75" customHeight="1" x14ac:dyDescent="0.2">
      <c r="A387" s="667"/>
      <c r="B387" s="620"/>
      <c r="C387" s="1463"/>
      <c r="D387" s="1464"/>
      <c r="E387" s="1005"/>
      <c r="F387" s="1005"/>
      <c r="G387" s="1005"/>
      <c r="H387" s="1005"/>
      <c r="I387" s="1005"/>
      <c r="J387" s="1005"/>
      <c r="K387" s="1005"/>
      <c r="L387" s="1005"/>
      <c r="M387" s="935"/>
      <c r="N387" s="1005"/>
      <c r="O387" s="1005"/>
      <c r="P387" s="1005"/>
      <c r="Q387" s="1005"/>
      <c r="R387" s="935"/>
      <c r="S387" s="1005"/>
    </row>
    <row r="388" spans="1:19" ht="15.75" customHeight="1" x14ac:dyDescent="0.2">
      <c r="A388" s="667"/>
      <c r="B388" s="620"/>
      <c r="C388" s="1463"/>
      <c r="D388" s="1464"/>
      <c r="E388" s="1005"/>
      <c r="F388" s="1005"/>
      <c r="G388" s="1005"/>
      <c r="H388" s="1005"/>
      <c r="I388" s="1005"/>
      <c r="J388" s="1005"/>
      <c r="K388" s="1005"/>
      <c r="L388" s="1005"/>
      <c r="M388" s="935"/>
      <c r="N388" s="1005"/>
      <c r="O388" s="1005"/>
      <c r="P388" s="1005"/>
      <c r="Q388" s="1005"/>
      <c r="R388" s="935"/>
      <c r="S388" s="1005"/>
    </row>
    <row r="389" spans="1:19" ht="15.75" customHeight="1" x14ac:dyDescent="0.2">
      <c r="A389" s="667"/>
      <c r="B389" s="620"/>
      <c r="C389" s="1463"/>
      <c r="D389" s="1464"/>
      <c r="E389" s="1005"/>
      <c r="F389" s="1005"/>
      <c r="G389" s="1005"/>
      <c r="H389" s="1005"/>
      <c r="I389" s="1005"/>
      <c r="J389" s="1005"/>
      <c r="K389" s="1005"/>
      <c r="L389" s="1005"/>
      <c r="M389" s="935"/>
      <c r="N389" s="1005"/>
      <c r="O389" s="1005"/>
      <c r="P389" s="1005"/>
      <c r="Q389" s="1005"/>
      <c r="R389" s="935"/>
      <c r="S389" s="1005"/>
    </row>
    <row r="390" spans="1:19" ht="15.75" customHeight="1" x14ac:dyDescent="0.2">
      <c r="A390" s="601"/>
      <c r="B390" s="602"/>
      <c r="S390" s="1469"/>
    </row>
    <row r="391" spans="1:19" ht="15.75" customHeight="1" x14ac:dyDescent="0.2">
      <c r="A391" s="601"/>
      <c r="B391" s="602"/>
      <c r="S391" s="1013"/>
    </row>
    <row r="392" spans="1:19" ht="15.75" customHeight="1" x14ac:dyDescent="0.2">
      <c r="A392" s="601"/>
      <c r="B392" s="602"/>
      <c r="S392" s="481"/>
    </row>
    <row r="393" spans="1:19" ht="15.75" customHeight="1" x14ac:dyDescent="0.2">
      <c r="S393" s="481"/>
    </row>
  </sheetData>
  <mergeCells count="144">
    <mergeCell ref="C161:C164"/>
    <mergeCell ref="C165:C168"/>
    <mergeCell ref="C281:C284"/>
    <mergeCell ref="C285:C288"/>
    <mergeCell ref="C289:C292"/>
    <mergeCell ref="D173:D176"/>
    <mergeCell ref="D177:D180"/>
    <mergeCell ref="D217:D220"/>
    <mergeCell ref="D221:D224"/>
    <mergeCell ref="D189:D200"/>
    <mergeCell ref="D205:D208"/>
    <mergeCell ref="D209:D212"/>
    <mergeCell ref="D213:D216"/>
    <mergeCell ref="D181:D184"/>
    <mergeCell ref="D185:D188"/>
    <mergeCell ref="C293:C296"/>
    <mergeCell ref="C241:C244"/>
    <mergeCell ref="C249:C252"/>
    <mergeCell ref="C257:C260"/>
    <mergeCell ref="C261:C272"/>
    <mergeCell ref="C277:C280"/>
    <mergeCell ref="C273:C276"/>
    <mergeCell ref="C169:C172"/>
    <mergeCell ref="C173:C176"/>
    <mergeCell ref="C213:C216"/>
    <mergeCell ref="C217:C220"/>
    <mergeCell ref="C177:C180"/>
    <mergeCell ref="C181:C184"/>
    <mergeCell ref="C185:C188"/>
    <mergeCell ref="C189:C200"/>
    <mergeCell ref="C201:C212"/>
    <mergeCell ref="C221:C224"/>
    <mergeCell ref="C233:C236"/>
    <mergeCell ref="C253:C256"/>
    <mergeCell ref="C237:C240"/>
    <mergeCell ref="C297:C300"/>
    <mergeCell ref="C301:C304"/>
    <mergeCell ref="D354:D357"/>
    <mergeCell ref="D350:D353"/>
    <mergeCell ref="D301:D304"/>
    <mergeCell ref="D325:D328"/>
    <mergeCell ref="C334:D336"/>
    <mergeCell ref="C329:C332"/>
    <mergeCell ref="C350:C353"/>
    <mergeCell ref="C354:C357"/>
    <mergeCell ref="C305:C308"/>
    <mergeCell ref="C309:C312"/>
    <mergeCell ref="C317:C320"/>
    <mergeCell ref="C321:C324"/>
    <mergeCell ref="C325:C328"/>
    <mergeCell ref="D317:D320"/>
    <mergeCell ref="D313:D316"/>
    <mergeCell ref="C157:C160"/>
    <mergeCell ref="C125:C136"/>
    <mergeCell ref="C137:C140"/>
    <mergeCell ref="C141:C144"/>
    <mergeCell ref="C145:C148"/>
    <mergeCell ref="C149:C152"/>
    <mergeCell ref="C84:C95"/>
    <mergeCell ref="C96:C111"/>
    <mergeCell ref="C112:S112"/>
    <mergeCell ref="C113:C124"/>
    <mergeCell ref="D84:D86"/>
    <mergeCell ref="D96:F96"/>
    <mergeCell ref="D92:D95"/>
    <mergeCell ref="D153:D156"/>
    <mergeCell ref="D64:D67"/>
    <mergeCell ref="D72:D75"/>
    <mergeCell ref="D44:D47"/>
    <mergeCell ref="D40:D43"/>
    <mergeCell ref="C8:C19"/>
    <mergeCell ref="C20:C31"/>
    <mergeCell ref="C32:C35"/>
    <mergeCell ref="C40:C43"/>
    <mergeCell ref="C48:C59"/>
    <mergeCell ref="C60:C63"/>
    <mergeCell ref="C72:C75"/>
    <mergeCell ref="D16:D19"/>
    <mergeCell ref="D8:D11"/>
    <mergeCell ref="C36:C39"/>
    <mergeCell ref="D36:D39"/>
    <mergeCell ref="D20:D31"/>
    <mergeCell ref="D12:D15"/>
    <mergeCell ref="D32:D35"/>
    <mergeCell ref="D52:D55"/>
    <mergeCell ref="D56:D59"/>
    <mergeCell ref="D48:D51"/>
    <mergeCell ref="D60:D63"/>
    <mergeCell ref="D68:D71"/>
    <mergeCell ref="D293:D296"/>
    <mergeCell ref="D289:D292"/>
    <mergeCell ref="D297:D300"/>
    <mergeCell ref="D309:D312"/>
    <mergeCell ref="D281:D284"/>
    <mergeCell ref="D261:D264"/>
    <mergeCell ref="D269:D272"/>
    <mergeCell ref="D225:D228"/>
    <mergeCell ref="D329:D332"/>
    <mergeCell ref="D233:D236"/>
    <mergeCell ref="D237:D240"/>
    <mergeCell ref="D241:D244"/>
    <mergeCell ref="D277:D280"/>
    <mergeCell ref="D273:D276"/>
    <mergeCell ref="D265:D268"/>
    <mergeCell ref="D285:D288"/>
    <mergeCell ref="D321:D324"/>
    <mergeCell ref="D249:D252"/>
    <mergeCell ref="D257:D260"/>
    <mergeCell ref="D305:D308"/>
    <mergeCell ref="D253:D256"/>
    <mergeCell ref="O1:S1"/>
    <mergeCell ref="A6:B6"/>
    <mergeCell ref="D5:D7"/>
    <mergeCell ref="O5:Q5"/>
    <mergeCell ref="O6:O7"/>
    <mergeCell ref="J5:L5"/>
    <mergeCell ref="A5:B5"/>
    <mergeCell ref="A7:B7"/>
    <mergeCell ref="L6:L7"/>
    <mergeCell ref="Q6:Q7"/>
    <mergeCell ref="K6:K7"/>
    <mergeCell ref="P6:P7"/>
    <mergeCell ref="J6:J7"/>
    <mergeCell ref="S5:S7"/>
    <mergeCell ref="C5:C7"/>
    <mergeCell ref="C378:S378"/>
    <mergeCell ref="A362:E362"/>
    <mergeCell ref="A370:E370"/>
    <mergeCell ref="A366:E366"/>
    <mergeCell ref="C367:D369"/>
    <mergeCell ref="C371:D373"/>
    <mergeCell ref="A345:E345"/>
    <mergeCell ref="A333:E333"/>
    <mergeCell ref="A341:E341"/>
    <mergeCell ref="A337:E337"/>
    <mergeCell ref="A349:S349"/>
    <mergeCell ref="A358:E358"/>
    <mergeCell ref="A374:E374"/>
    <mergeCell ref="C375:D377"/>
    <mergeCell ref="C346:D348"/>
    <mergeCell ref="C338:D340"/>
    <mergeCell ref="C342:D344"/>
    <mergeCell ref="C359:D361"/>
    <mergeCell ref="C363:D365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68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52" zoomScale="80" zoomScaleNormal="80" zoomScaleSheetLayoutView="100" workbookViewId="0">
      <selection activeCell="G72" sqref="G72"/>
    </sheetView>
  </sheetViews>
  <sheetFormatPr defaultRowHeight="12" customHeight="1" x14ac:dyDescent="0.2"/>
  <cols>
    <col min="1" max="1" width="3.28515625" style="13" customWidth="1"/>
    <col min="2" max="2" width="3.140625" style="33" customWidth="1"/>
    <col min="3" max="3" width="91.28515625" style="14" customWidth="1"/>
    <col min="4" max="4" width="14.42578125" style="193" customWidth="1"/>
    <col min="5" max="5" width="16.140625" style="64" customWidth="1"/>
    <col min="6" max="6" width="12.85546875" style="860" customWidth="1"/>
    <col min="7" max="7" width="45.42578125" style="1055" customWidth="1"/>
    <col min="8" max="8" width="23.28515625" style="13" customWidth="1"/>
    <col min="9" max="16384" width="9.140625" style="13"/>
  </cols>
  <sheetData>
    <row r="1" spans="1:8" ht="12" customHeight="1" x14ac:dyDescent="0.2">
      <c r="A1" s="1953"/>
      <c r="B1" s="1954"/>
      <c r="C1" s="1954"/>
      <c r="D1" s="1954"/>
      <c r="E1" s="1954"/>
      <c r="F1" s="1955"/>
    </row>
    <row r="2" spans="1:8" ht="12" customHeight="1" x14ac:dyDescent="0.2">
      <c r="A2" s="1956"/>
      <c r="B2" s="1957"/>
      <c r="C2" s="1957"/>
      <c r="D2" s="1957"/>
      <c r="E2" s="1957"/>
      <c r="F2" s="1958"/>
    </row>
    <row r="3" spans="1:8" ht="30" customHeight="1" x14ac:dyDescent="0.2">
      <c r="A3" s="1956"/>
      <c r="B3" s="1957"/>
      <c r="C3" s="1957"/>
      <c r="D3" s="1957"/>
      <c r="E3" s="1957"/>
      <c r="F3" s="1958"/>
    </row>
    <row r="4" spans="1:8" ht="16.5" customHeight="1" thickBot="1" x14ac:dyDescent="0.25">
      <c r="A4" s="1956"/>
      <c r="B4" s="1957"/>
      <c r="C4" s="1957"/>
      <c r="D4" s="1957"/>
      <c r="E4" s="1957"/>
      <c r="F4" s="1958"/>
      <c r="G4" s="1139"/>
      <c r="H4" s="944"/>
    </row>
    <row r="5" spans="1:8" s="15" customFormat="1" ht="18.75" customHeight="1" x14ac:dyDescent="0.2">
      <c r="A5" s="1963" t="s">
        <v>13</v>
      </c>
      <c r="B5" s="1964"/>
      <c r="C5" s="1965"/>
      <c r="D5" s="1190" t="s">
        <v>258</v>
      </c>
      <c r="E5" s="1191" t="s">
        <v>259</v>
      </c>
      <c r="F5" s="1192" t="s">
        <v>260</v>
      </c>
      <c r="G5" s="1140"/>
      <c r="H5" s="945"/>
    </row>
    <row r="6" spans="1:8" s="16" customFormat="1" ht="17.25" customHeight="1" x14ac:dyDescent="0.2">
      <c r="A6" s="1242" t="s">
        <v>19</v>
      </c>
      <c r="B6" s="1243"/>
      <c r="C6" s="1244" t="s">
        <v>22</v>
      </c>
      <c r="D6" s="1245">
        <f>D8+D44</f>
        <v>283681877</v>
      </c>
      <c r="E6" s="1245">
        <f>E8+E44</f>
        <v>287622599.10000002</v>
      </c>
      <c r="F6" s="1286">
        <f>F8+F44</f>
        <v>20155821.07</v>
      </c>
      <c r="G6" s="1141"/>
      <c r="H6" s="946"/>
    </row>
    <row r="7" spans="1:8" s="16" customFormat="1" ht="18.75" customHeight="1" x14ac:dyDescent="0.2">
      <c r="A7" s="1249"/>
      <c r="B7" s="1250"/>
      <c r="C7" s="1264"/>
      <c r="D7" s="1265"/>
      <c r="E7" s="1256"/>
      <c r="F7" s="1287"/>
      <c r="G7" s="1141"/>
      <c r="H7" s="947"/>
    </row>
    <row r="8" spans="1:8" s="15" customFormat="1" ht="15" customHeight="1" x14ac:dyDescent="0.2">
      <c r="A8" s="1201"/>
      <c r="B8" s="1202" t="s">
        <v>2</v>
      </c>
      <c r="C8" s="1272" t="s">
        <v>70</v>
      </c>
      <c r="D8" s="1273">
        <f>D9+D32+D37+D41</f>
        <v>43505474</v>
      </c>
      <c r="E8" s="1273">
        <f t="shared" ref="E8" si="0">E9+E32+E37+E41</f>
        <v>47446196.100000001</v>
      </c>
      <c r="F8" s="1288">
        <f>F9+F32+F37+F41</f>
        <v>12850586.870000001</v>
      </c>
      <c r="G8" s="1142"/>
      <c r="H8" s="946"/>
    </row>
    <row r="9" spans="1:8" s="15" customFormat="1" ht="15" customHeight="1" x14ac:dyDescent="0.2">
      <c r="A9" s="1201"/>
      <c r="B9" s="1202"/>
      <c r="C9" s="1289" t="s">
        <v>692</v>
      </c>
      <c r="D9" s="1290">
        <f>D10+D13+D14+D19+D21+D27+D28+D29+D30</f>
        <v>40905474</v>
      </c>
      <c r="E9" s="1290">
        <f>E10+E13+E14+E19+E21+E27+E28+E29+E30+E31</f>
        <v>44880237.100000001</v>
      </c>
      <c r="F9" s="1291">
        <f t="shared" ref="F9" si="1">F10+F13+F14+F19+F21+F27+F28+F29+F30</f>
        <v>10287088.870000001</v>
      </c>
      <c r="G9" s="1142"/>
      <c r="H9" s="946"/>
    </row>
    <row r="10" spans="1:8" s="874" customFormat="1" ht="15" customHeight="1" x14ac:dyDescent="0.2">
      <c r="A10" s="1201"/>
      <c r="B10" s="1202"/>
      <c r="C10" s="1193" t="s">
        <v>693</v>
      </c>
      <c r="D10" s="1194"/>
      <c r="E10" s="1195">
        <f>E11+E12</f>
        <v>890840.23</v>
      </c>
      <c r="F10" s="1196">
        <f>F11+F12</f>
        <v>890840.23</v>
      </c>
      <c r="G10" s="1143"/>
      <c r="H10" s="948"/>
    </row>
    <row r="11" spans="1:8" s="874" customFormat="1" ht="15" customHeight="1" x14ac:dyDescent="0.2">
      <c r="A11" s="1201"/>
      <c r="B11" s="1202"/>
      <c r="C11" s="1197" t="s">
        <v>688</v>
      </c>
      <c r="D11" s="1198">
        <v>0</v>
      </c>
      <c r="E11" s="1199">
        <f>95150*1.27</f>
        <v>120840.5</v>
      </c>
      <c r="F11" s="1200">
        <f>95150*1.27</f>
        <v>120840.5</v>
      </c>
      <c r="G11" s="1143"/>
      <c r="H11" s="948"/>
    </row>
    <row r="12" spans="1:8" s="874" customFormat="1" ht="15" customHeight="1" x14ac:dyDescent="0.2">
      <c r="A12" s="1201"/>
      <c r="B12" s="1202"/>
      <c r="C12" s="1197" t="s">
        <v>689</v>
      </c>
      <c r="D12" s="1198"/>
      <c r="E12" s="1199">
        <f>606299*1.27</f>
        <v>769999.73</v>
      </c>
      <c r="F12" s="1200">
        <f>606299*1.27</f>
        <v>769999.73</v>
      </c>
      <c r="G12" s="1141"/>
      <c r="H12" s="946"/>
    </row>
    <row r="13" spans="1:8" s="142" customFormat="1" ht="15" customHeight="1" x14ac:dyDescent="0.2">
      <c r="A13" s="1201"/>
      <c r="B13" s="1202"/>
      <c r="C13" s="1193" t="s">
        <v>658</v>
      </c>
      <c r="D13" s="1194">
        <f>39235406</f>
        <v>39235406</v>
      </c>
      <c r="E13" s="1195">
        <f>1819667+(30570888)-741020+711363+30000</f>
        <v>32390898</v>
      </c>
      <c r="F13" s="1196">
        <v>1819667</v>
      </c>
      <c r="G13" s="1141"/>
      <c r="H13" s="946"/>
    </row>
    <row r="14" spans="1:8" s="142" customFormat="1" ht="15" customHeight="1" x14ac:dyDescent="0.25">
      <c r="A14" s="1201"/>
      <c r="B14" s="1202"/>
      <c r="C14" s="1203" t="s">
        <v>668</v>
      </c>
      <c r="D14" s="1204">
        <f>SUM(D15:D18)</f>
        <v>250000</v>
      </c>
      <c r="E14" s="1205">
        <f>SUM(E15:E18)</f>
        <v>7461921</v>
      </c>
      <c r="F14" s="1206">
        <f>SUM(F15:F18)</f>
        <v>4420480.49</v>
      </c>
      <c r="G14" s="1144"/>
      <c r="H14" s="949"/>
    </row>
    <row r="15" spans="1:8" s="142" customFormat="1" ht="15" customHeight="1" x14ac:dyDescent="0.2">
      <c r="A15" s="1201"/>
      <c r="B15" s="1202"/>
      <c r="C15" s="1207" t="s">
        <v>648</v>
      </c>
      <c r="D15" s="1211">
        <v>0</v>
      </c>
      <c r="E15" s="1212">
        <v>3000000</v>
      </c>
      <c r="F15" s="1208">
        <f>E15</f>
        <v>3000000</v>
      </c>
      <c r="G15" s="1145"/>
      <c r="H15" s="948"/>
    </row>
    <row r="16" spans="1:8" s="142" customFormat="1" ht="15" customHeight="1" x14ac:dyDescent="0.2">
      <c r="A16" s="1201"/>
      <c r="B16" s="1202"/>
      <c r="C16" s="1207" t="s">
        <v>649</v>
      </c>
      <c r="D16" s="1211">
        <v>0</v>
      </c>
      <c r="E16" s="1212">
        <v>1000000</v>
      </c>
      <c r="F16" s="1208">
        <v>1000000</v>
      </c>
      <c r="G16" s="1144"/>
      <c r="H16" s="948"/>
    </row>
    <row r="17" spans="1:8" s="142" customFormat="1" ht="15" customHeight="1" x14ac:dyDescent="0.2">
      <c r="A17" s="1201"/>
      <c r="B17" s="1202"/>
      <c r="C17" s="1207" t="s">
        <v>650</v>
      </c>
      <c r="D17" s="1211">
        <v>0</v>
      </c>
      <c r="E17" s="1212">
        <v>2300000</v>
      </c>
      <c r="F17" s="1208">
        <v>0</v>
      </c>
      <c r="G17" s="1145"/>
      <c r="H17" s="948"/>
    </row>
    <row r="18" spans="1:8" s="15" customFormat="1" ht="15" customHeight="1" x14ac:dyDescent="0.2">
      <c r="A18" s="1201"/>
      <c r="B18" s="1202"/>
      <c r="C18" s="1207" t="s">
        <v>679</v>
      </c>
      <c r="D18" s="1211">
        <v>250000</v>
      </c>
      <c r="E18" s="1212">
        <f>421100+199445+541376</f>
        <v>1161921</v>
      </c>
      <c r="F18" s="1209">
        <f>331087*1.27</f>
        <v>420480.49</v>
      </c>
      <c r="G18" s="1145"/>
      <c r="H18" s="948"/>
    </row>
    <row r="19" spans="1:8" s="15" customFormat="1" ht="15" customHeight="1" x14ac:dyDescent="0.2">
      <c r="A19" s="1201"/>
      <c r="B19" s="1202"/>
      <c r="C19" s="1193" t="s">
        <v>666</v>
      </c>
      <c r="D19" s="1194">
        <f>D20</f>
        <v>0</v>
      </c>
      <c r="E19" s="1194">
        <f t="shared" ref="E19" si="2">E20</f>
        <v>700000</v>
      </c>
      <c r="F19" s="1210">
        <f>F20</f>
        <v>699600</v>
      </c>
      <c r="G19" s="1144"/>
      <c r="H19" s="948"/>
    </row>
    <row r="20" spans="1:8" s="874" customFormat="1" ht="15" customHeight="1" x14ac:dyDescent="0.2">
      <c r="A20" s="1201"/>
      <c r="B20" s="1202"/>
      <c r="C20" s="1207" t="s">
        <v>667</v>
      </c>
      <c r="D20" s="1211">
        <v>0</v>
      </c>
      <c r="E20" s="1212">
        <v>700000</v>
      </c>
      <c r="F20" s="1208">
        <v>699600</v>
      </c>
      <c r="G20" s="1146"/>
      <c r="H20" s="946"/>
    </row>
    <row r="21" spans="1:8" s="15" customFormat="1" ht="15" customHeight="1" x14ac:dyDescent="0.2">
      <c r="A21" s="1219"/>
      <c r="B21" s="1218"/>
      <c r="C21" s="1193" t="s">
        <v>651</v>
      </c>
      <c r="D21" s="1194">
        <f>D22+D23+D24+D25+D26</f>
        <v>114000</v>
      </c>
      <c r="E21" s="1194">
        <f>E22+E23+E24+E25+E26</f>
        <v>602098</v>
      </c>
      <c r="F21" s="1210">
        <f>F22+F23+F24+F25+F26</f>
        <v>602098</v>
      </c>
      <c r="G21" s="1141"/>
      <c r="H21" s="948"/>
    </row>
    <row r="22" spans="1:8" s="874" customFormat="1" ht="15" customHeight="1" x14ac:dyDescent="0.2">
      <c r="A22" s="1201"/>
      <c r="B22" s="1202"/>
      <c r="C22" s="1207" t="s">
        <v>661</v>
      </c>
      <c r="D22" s="1213">
        <v>114000</v>
      </c>
      <c r="E22" s="1214">
        <f>90079+24321</f>
        <v>114400</v>
      </c>
      <c r="F22" s="1215">
        <f>E22</f>
        <v>114400</v>
      </c>
      <c r="G22" s="1141"/>
      <c r="H22" s="948"/>
    </row>
    <row r="23" spans="1:8" s="874" customFormat="1" ht="15" customHeight="1" x14ac:dyDescent="0.2">
      <c r="A23" s="1201"/>
      <c r="B23" s="1202"/>
      <c r="C23" s="1207" t="s">
        <v>662</v>
      </c>
      <c r="D23" s="1213">
        <v>0</v>
      </c>
      <c r="E23" s="1216">
        <f>76517-2</f>
        <v>76515</v>
      </c>
      <c r="F23" s="1217">
        <f>76517-2</f>
        <v>76515</v>
      </c>
      <c r="G23" s="1144"/>
      <c r="H23" s="948"/>
    </row>
    <row r="24" spans="1:8" s="874" customFormat="1" ht="15" customHeight="1" x14ac:dyDescent="0.2">
      <c r="A24" s="1201"/>
      <c r="B24" s="1202"/>
      <c r="C24" s="1207" t="s">
        <v>663</v>
      </c>
      <c r="D24" s="1213">
        <v>0</v>
      </c>
      <c r="E24" s="1216">
        <f>153465+41435</f>
        <v>194900</v>
      </c>
      <c r="F24" s="1217">
        <f>153465+41435</f>
        <v>194900</v>
      </c>
      <c r="G24" s="1144"/>
      <c r="H24" s="948"/>
    </row>
    <row r="25" spans="1:8" s="874" customFormat="1" ht="15" customHeight="1" x14ac:dyDescent="0.2">
      <c r="A25" s="1201"/>
      <c r="B25" s="1202"/>
      <c r="C25" s="1207" t="s">
        <v>664</v>
      </c>
      <c r="D25" s="1213">
        <v>0</v>
      </c>
      <c r="E25" s="1216">
        <f>10842+2927</f>
        <v>13769</v>
      </c>
      <c r="F25" s="1217">
        <f>10842+2927</f>
        <v>13769</v>
      </c>
      <c r="G25" s="1144"/>
      <c r="H25" s="948"/>
    </row>
    <row r="26" spans="1:8" s="874" customFormat="1" ht="15" customHeight="1" x14ac:dyDescent="0.2">
      <c r="A26" s="1201"/>
      <c r="B26" s="1202"/>
      <c r="C26" s="1207" t="s">
        <v>665</v>
      </c>
      <c r="D26" s="1213">
        <v>0</v>
      </c>
      <c r="E26" s="1216">
        <f>159460+43054</f>
        <v>202514</v>
      </c>
      <c r="F26" s="1217">
        <f>159460+43054</f>
        <v>202514</v>
      </c>
      <c r="G26" s="1144"/>
      <c r="H26" s="948"/>
    </row>
    <row r="27" spans="1:8" s="142" customFormat="1" ht="15" customHeight="1" x14ac:dyDescent="0.2">
      <c r="A27" s="1201"/>
      <c r="B27" s="1218"/>
      <c r="C27" s="1193" t="s">
        <v>646</v>
      </c>
      <c r="D27" s="1194"/>
      <c r="E27" s="1195">
        <f>220000+199</f>
        <v>220199</v>
      </c>
      <c r="F27" s="1206">
        <v>214885</v>
      </c>
      <c r="G27" s="1144"/>
      <c r="H27" s="948"/>
    </row>
    <row r="28" spans="1:8" s="142" customFormat="1" ht="15" customHeight="1" x14ac:dyDescent="0.2">
      <c r="A28" s="1219"/>
      <c r="B28" s="1218"/>
      <c r="C28" s="1193" t="s">
        <v>670</v>
      </c>
      <c r="D28" s="1194"/>
      <c r="E28" s="1195">
        <v>45000</v>
      </c>
      <c r="F28" s="1206">
        <v>45000</v>
      </c>
      <c r="G28" s="1144"/>
      <c r="H28" s="948"/>
    </row>
    <row r="29" spans="1:8" s="142" customFormat="1" ht="15" customHeight="1" x14ac:dyDescent="0.2">
      <c r="A29" s="1219"/>
      <c r="B29" s="1218"/>
      <c r="C29" s="1193" t="s">
        <v>691</v>
      </c>
      <c r="D29" s="1194"/>
      <c r="E29" s="1195">
        <f>125181*1.27</f>
        <v>158979.87</v>
      </c>
      <c r="F29" s="1206">
        <f>158980</f>
        <v>158980</v>
      </c>
      <c r="G29" s="1144"/>
      <c r="H29" s="948"/>
    </row>
    <row r="30" spans="1:8" s="17" customFormat="1" ht="15.75" x14ac:dyDescent="0.2">
      <c r="A30" s="1219"/>
      <c r="B30" s="1220"/>
      <c r="C30" s="1221" t="s">
        <v>48</v>
      </c>
      <c r="D30" s="1222">
        <v>1306068</v>
      </c>
      <c r="E30" s="1222">
        <v>1435538</v>
      </c>
      <c r="F30" s="1223">
        <f>1130345*1.27</f>
        <v>1435538.15</v>
      </c>
      <c r="G30" s="1147"/>
      <c r="H30" s="946"/>
    </row>
    <row r="31" spans="1:8" s="17" customFormat="1" ht="15.75" x14ac:dyDescent="0.2">
      <c r="A31" s="1219"/>
      <c r="B31" s="1220"/>
      <c r="C31" s="1221" t="s">
        <v>744</v>
      </c>
      <c r="D31" s="1222"/>
      <c r="E31" s="1222">
        <v>974763</v>
      </c>
      <c r="F31" s="1223"/>
      <c r="G31" s="1147"/>
      <c r="H31" s="946"/>
    </row>
    <row r="32" spans="1:8" s="17" customFormat="1" ht="15.75" x14ac:dyDescent="0.25">
      <c r="A32" s="1201"/>
      <c r="B32" s="1224"/>
      <c r="C32" s="1225" t="s">
        <v>188</v>
      </c>
      <c r="D32" s="1226">
        <f>D33</f>
        <v>2000000</v>
      </c>
      <c r="E32" s="1226">
        <f t="shared" ref="E32:F32" si="3">E33</f>
        <v>1665959</v>
      </c>
      <c r="F32" s="1292">
        <f t="shared" si="3"/>
        <v>1665937</v>
      </c>
      <c r="G32" s="1148"/>
      <c r="H32" s="948"/>
    </row>
    <row r="33" spans="1:9" s="17" customFormat="1" ht="18.75" customHeight="1" x14ac:dyDescent="0.2">
      <c r="A33" s="1201"/>
      <c r="B33" s="1224"/>
      <c r="C33" s="1227" t="s">
        <v>295</v>
      </c>
      <c r="D33" s="1228">
        <v>2000000</v>
      </c>
      <c r="E33" s="1229">
        <f>E34+E35+E36</f>
        <v>1665959</v>
      </c>
      <c r="F33" s="1234">
        <f>F34+F35+F36</f>
        <v>1665937</v>
      </c>
      <c r="G33" s="1147"/>
      <c r="H33" s="946"/>
    </row>
    <row r="34" spans="1:9" s="17" customFormat="1" ht="15.75" x14ac:dyDescent="0.2">
      <c r="A34" s="1201"/>
      <c r="B34" s="1224"/>
      <c r="C34" s="1227" t="s">
        <v>685</v>
      </c>
      <c r="D34" s="1228">
        <v>0</v>
      </c>
      <c r="E34" s="1229">
        <v>43637</v>
      </c>
      <c r="F34" s="1160">
        <v>43637</v>
      </c>
      <c r="G34" s="1147"/>
      <c r="H34" s="946"/>
    </row>
    <row r="35" spans="1:9" s="17" customFormat="1" ht="15.75" x14ac:dyDescent="0.2">
      <c r="A35" s="1201"/>
      <c r="B35" s="1224"/>
      <c r="C35" s="1227" t="s">
        <v>686</v>
      </c>
      <c r="D35" s="1228"/>
      <c r="E35" s="1229">
        <v>1166988</v>
      </c>
      <c r="F35" s="1160">
        <v>1166988</v>
      </c>
      <c r="G35" s="1149"/>
      <c r="H35" s="950"/>
    </row>
    <row r="36" spans="1:9" s="17" customFormat="1" ht="15.75" x14ac:dyDescent="0.2">
      <c r="A36" s="1201"/>
      <c r="B36" s="1224"/>
      <c r="C36" s="1227" t="s">
        <v>690</v>
      </c>
      <c r="D36" s="1228"/>
      <c r="E36" s="1229">
        <f>1665959-E35-E34</f>
        <v>455334</v>
      </c>
      <c r="F36" s="1234">
        <f>1665937-F35-F34</f>
        <v>455312</v>
      </c>
      <c r="G36" s="1144"/>
      <c r="H36" s="948"/>
      <c r="I36" s="944"/>
    </row>
    <row r="37" spans="1:9" s="17" customFormat="1" ht="15.75" x14ac:dyDescent="0.2">
      <c r="A37" s="1201"/>
      <c r="B37" s="1224"/>
      <c r="C37" s="1230" t="s">
        <v>207</v>
      </c>
      <c r="D37" s="1231">
        <f>D38+D39+D40</f>
        <v>100000</v>
      </c>
      <c r="E37" s="1232">
        <f>E38+E40</f>
        <v>823900</v>
      </c>
      <c r="F37" s="1293">
        <f>F38+F40</f>
        <v>822561</v>
      </c>
      <c r="G37" s="1150"/>
      <c r="H37" s="951"/>
      <c r="I37" s="944"/>
    </row>
    <row r="38" spans="1:9" s="17" customFormat="1" ht="15.75" x14ac:dyDescent="0.2">
      <c r="A38" s="1201"/>
      <c r="B38" s="1224"/>
      <c r="C38" s="1233" t="s">
        <v>618</v>
      </c>
      <c r="D38" s="1228">
        <v>100000</v>
      </c>
      <c r="E38" s="1234">
        <f>288000-E39+160370</f>
        <v>243900</v>
      </c>
      <c r="F38" s="1160">
        <f>486934-244373</f>
        <v>242561</v>
      </c>
      <c r="G38" s="1150"/>
      <c r="H38" s="951"/>
      <c r="I38" s="944"/>
    </row>
    <row r="39" spans="1:9" s="17" customFormat="1" ht="15" x14ac:dyDescent="0.2">
      <c r="A39" s="1201"/>
      <c r="B39" s="1224"/>
      <c r="C39" s="1227" t="s">
        <v>619</v>
      </c>
      <c r="D39" s="1228">
        <v>0</v>
      </c>
      <c r="E39" s="1234">
        <f>161000*1.27</f>
        <v>204470</v>
      </c>
      <c r="F39" s="1160">
        <f>160307*1.27</f>
        <v>203589.89</v>
      </c>
      <c r="G39" s="1151"/>
      <c r="H39" s="952"/>
      <c r="I39" s="944"/>
    </row>
    <row r="40" spans="1:9" s="17" customFormat="1" ht="18.75" customHeight="1" x14ac:dyDescent="0.2">
      <c r="A40" s="1201"/>
      <c r="B40" s="1224"/>
      <c r="C40" s="1227" t="s">
        <v>620</v>
      </c>
      <c r="D40" s="1228">
        <v>0</v>
      </c>
      <c r="E40" s="1234">
        <v>580000</v>
      </c>
      <c r="F40" s="1160">
        <v>580000</v>
      </c>
      <c r="G40" s="1152"/>
      <c r="H40" s="948"/>
      <c r="I40" s="944"/>
    </row>
    <row r="41" spans="1:9" s="17" customFormat="1" ht="15.75" x14ac:dyDescent="0.2">
      <c r="A41" s="1201"/>
      <c r="B41" s="1224"/>
      <c r="C41" s="1235" t="s">
        <v>189</v>
      </c>
      <c r="D41" s="1236">
        <f>D42</f>
        <v>500000</v>
      </c>
      <c r="E41" s="1236">
        <f t="shared" ref="E41:F41" si="4">E42</f>
        <v>76100</v>
      </c>
      <c r="F41" s="1294">
        <f t="shared" si="4"/>
        <v>75000</v>
      </c>
      <c r="G41" s="1141"/>
      <c r="H41" s="946"/>
      <c r="I41" s="944"/>
    </row>
    <row r="42" spans="1:9" s="17" customFormat="1" ht="15.75" x14ac:dyDescent="0.2">
      <c r="A42" s="1201"/>
      <c r="B42" s="1224"/>
      <c r="C42" s="1227" t="s">
        <v>687</v>
      </c>
      <c r="D42" s="1228">
        <v>500000</v>
      </c>
      <c r="E42" s="1229">
        <v>76100</v>
      </c>
      <c r="F42" s="1160">
        <v>75000</v>
      </c>
      <c r="G42" s="1141"/>
      <c r="H42" s="948"/>
      <c r="I42" s="944"/>
    </row>
    <row r="43" spans="1:9" s="87" customFormat="1" ht="18" customHeight="1" thickBot="1" x14ac:dyDescent="0.25">
      <c r="A43" s="1295"/>
      <c r="B43" s="1296" t="s">
        <v>3</v>
      </c>
      <c r="C43" s="1297" t="s">
        <v>67</v>
      </c>
      <c r="D43" s="1298">
        <f>D44+D55</f>
        <v>374902001</v>
      </c>
      <c r="E43" s="1299">
        <f>E44+E55</f>
        <v>389902001</v>
      </c>
      <c r="F43" s="1300">
        <f>F44+F55</f>
        <v>134100304.2</v>
      </c>
      <c r="G43" s="1147"/>
      <c r="H43" s="946"/>
      <c r="I43" s="944"/>
    </row>
    <row r="44" spans="1:9" s="17" customFormat="1" ht="18" customHeight="1" x14ac:dyDescent="0.2">
      <c r="A44" s="1301"/>
      <c r="B44" s="1302">
        <v>1</v>
      </c>
      <c r="C44" s="1244" t="s">
        <v>209</v>
      </c>
      <c r="D44" s="1245">
        <f>D45+D51+D53+D48+D49+D52</f>
        <v>240176403</v>
      </c>
      <c r="E44" s="1245">
        <f t="shared" ref="E44:F44" si="5">E45+E51+E53+E48+E49+E52</f>
        <v>240176403</v>
      </c>
      <c r="F44" s="1286">
        <f t="shared" si="5"/>
        <v>7305234.2000000002</v>
      </c>
      <c r="G44" s="1142"/>
      <c r="H44" s="946"/>
      <c r="I44" s="944"/>
    </row>
    <row r="45" spans="1:9" s="143" customFormat="1" ht="18" customHeight="1" x14ac:dyDescent="0.25">
      <c r="A45" s="1201"/>
      <c r="B45" s="1202"/>
      <c r="C45" s="1221" t="s">
        <v>652</v>
      </c>
      <c r="D45" s="1237">
        <f>D46+D47</f>
        <v>71755290</v>
      </c>
      <c r="E45" s="1205">
        <v>71755290</v>
      </c>
      <c r="F45" s="1237">
        <f>F46+F47</f>
        <v>2553850</v>
      </c>
      <c r="G45" s="1153"/>
      <c r="H45" s="953"/>
      <c r="I45" s="954"/>
    </row>
    <row r="46" spans="1:9" s="143" customFormat="1" ht="18" customHeight="1" x14ac:dyDescent="0.2">
      <c r="A46" s="1201"/>
      <c r="B46" s="1202"/>
      <c r="C46" s="1227" t="s">
        <v>653</v>
      </c>
      <c r="D46" s="1234">
        <f>65532000+2531050</f>
        <v>68063050</v>
      </c>
      <c r="E46" s="1229">
        <f>65532000+2531050</f>
        <v>68063050</v>
      </c>
      <c r="F46" s="1234">
        <f>1255000*1.27+960000</f>
        <v>2553850</v>
      </c>
      <c r="G46" s="1154"/>
      <c r="H46" s="952"/>
      <c r="I46" s="954"/>
    </row>
    <row r="47" spans="1:9" s="143" customFormat="1" ht="18" customHeight="1" x14ac:dyDescent="0.2">
      <c r="A47" s="1201"/>
      <c r="B47" s="1202"/>
      <c r="C47" s="1227" t="s">
        <v>654</v>
      </c>
      <c r="D47" s="1234">
        <v>3692240</v>
      </c>
      <c r="E47" s="1229">
        <v>3692240</v>
      </c>
      <c r="F47" s="1234"/>
      <c r="G47" s="1155"/>
      <c r="H47" s="959"/>
      <c r="I47" s="954"/>
    </row>
    <row r="48" spans="1:9" s="143" customFormat="1" ht="18" customHeight="1" x14ac:dyDescent="0.2">
      <c r="A48" s="1201"/>
      <c r="B48" s="1202"/>
      <c r="C48" s="1238" t="s">
        <v>655</v>
      </c>
      <c r="D48" s="1237">
        <v>134777466</v>
      </c>
      <c r="E48" s="1205">
        <v>134777466</v>
      </c>
      <c r="F48" s="1237">
        <f>3740760*1.27+619</f>
        <v>4751384.2</v>
      </c>
      <c r="G48" s="1155"/>
      <c r="H48" s="959"/>
      <c r="I48" s="954"/>
    </row>
    <row r="49" spans="1:9" s="143" customFormat="1" ht="18" customHeight="1" x14ac:dyDescent="0.2">
      <c r="A49" s="1201"/>
      <c r="B49" s="1202"/>
      <c r="C49" s="1238" t="s">
        <v>244</v>
      </c>
      <c r="D49" s="1237">
        <v>10740000</v>
      </c>
      <c r="E49" s="1205">
        <f>E50</f>
        <v>10740000</v>
      </c>
      <c r="F49" s="1237"/>
      <c r="G49" s="1156"/>
      <c r="H49" s="955"/>
      <c r="I49" s="954"/>
    </row>
    <row r="50" spans="1:9" s="143" customFormat="1" ht="15.75" customHeight="1" x14ac:dyDescent="0.2">
      <c r="A50" s="1201"/>
      <c r="B50" s="1250"/>
      <c r="C50" s="1227" t="s">
        <v>245</v>
      </c>
      <c r="D50" s="1234">
        <v>10740000</v>
      </c>
      <c r="E50" s="1229">
        <v>10740000</v>
      </c>
      <c r="F50" s="1234">
        <v>0</v>
      </c>
      <c r="G50" s="1156"/>
      <c r="H50" s="955"/>
      <c r="I50" s="954"/>
    </row>
    <row r="51" spans="1:9" s="17" customFormat="1" ht="15.75" customHeight="1" x14ac:dyDescent="0.2">
      <c r="A51" s="1201"/>
      <c r="B51" s="1250"/>
      <c r="C51" s="1239" t="s">
        <v>656</v>
      </c>
      <c r="D51" s="1196">
        <v>8769066</v>
      </c>
      <c r="E51" s="1205">
        <v>8769066</v>
      </c>
      <c r="F51" s="1237">
        <v>0</v>
      </c>
      <c r="G51" s="1157"/>
      <c r="H51" s="956"/>
      <c r="I51" s="944"/>
    </row>
    <row r="52" spans="1:9" s="17" customFormat="1" ht="15.75" customHeight="1" x14ac:dyDescent="0.2">
      <c r="A52" s="1201"/>
      <c r="B52" s="1250"/>
      <c r="C52" s="1239" t="s">
        <v>681</v>
      </c>
      <c r="D52" s="1196">
        <v>750000</v>
      </c>
      <c r="E52" s="1205">
        <v>750000</v>
      </c>
      <c r="F52" s="1303"/>
      <c r="G52" s="1157"/>
      <c r="H52" s="956"/>
      <c r="I52" s="944"/>
    </row>
    <row r="53" spans="1:9" s="17" customFormat="1" ht="15.75" customHeight="1" x14ac:dyDescent="0.2">
      <c r="A53" s="1201"/>
      <c r="B53" s="1250"/>
      <c r="C53" s="1240" t="s">
        <v>680</v>
      </c>
      <c r="D53" s="1196">
        <v>13384581</v>
      </c>
      <c r="E53" s="1205">
        <f>D53</f>
        <v>13384581</v>
      </c>
      <c r="F53" s="1303">
        <v>0</v>
      </c>
      <c r="G53" s="1157"/>
      <c r="H53" s="956"/>
      <c r="I53" s="944"/>
    </row>
    <row r="54" spans="1:9" s="17" customFormat="1" ht="15.75" customHeight="1" x14ac:dyDescent="0.2">
      <c r="A54" s="1201"/>
      <c r="B54" s="1250"/>
      <c r="C54" s="1240" t="s">
        <v>678</v>
      </c>
      <c r="D54" s="1241">
        <v>0</v>
      </c>
      <c r="E54" s="1205">
        <v>974763</v>
      </c>
      <c r="F54" s="1303"/>
      <c r="G54" s="1157"/>
      <c r="H54" s="956"/>
      <c r="I54" s="944"/>
    </row>
    <row r="55" spans="1:9" s="17" customFormat="1" ht="14.25" customHeight="1" x14ac:dyDescent="0.2">
      <c r="A55" s="1242" t="s">
        <v>20</v>
      </c>
      <c r="B55" s="1243"/>
      <c r="C55" s="1244" t="s">
        <v>44</v>
      </c>
      <c r="D55" s="1245">
        <f>D56+D59</f>
        <v>134725598</v>
      </c>
      <c r="E55" s="1246">
        <f>E56+E59</f>
        <v>149725598</v>
      </c>
      <c r="F55" s="1247">
        <f>F56+F59</f>
        <v>126795070</v>
      </c>
      <c r="G55" s="1157"/>
      <c r="H55" s="956"/>
      <c r="I55" s="944"/>
    </row>
    <row r="56" spans="1:9" s="28" customFormat="1" ht="14.25" customHeight="1" x14ac:dyDescent="0.2">
      <c r="A56" s="1248"/>
      <c r="B56" s="1218" t="s">
        <v>2</v>
      </c>
      <c r="C56" s="1193" t="s">
        <v>70</v>
      </c>
      <c r="D56" s="1194"/>
      <c r="E56" s="1194">
        <f t="shared" ref="E56" si="6">E57</f>
        <v>15000000</v>
      </c>
      <c r="F56" s="1210">
        <f>F57+F58</f>
        <v>30570888</v>
      </c>
      <c r="G56" s="1158"/>
      <c r="H56" s="957"/>
      <c r="I56" s="958"/>
    </row>
    <row r="57" spans="1:9" s="17" customFormat="1" ht="14.25" customHeight="1" x14ac:dyDescent="0.2">
      <c r="A57" s="1249"/>
      <c r="B57" s="1250"/>
      <c r="C57" s="1227" t="s">
        <v>682</v>
      </c>
      <c r="D57" s="1228">
        <v>0</v>
      </c>
      <c r="E57" s="1251">
        <v>15000000</v>
      </c>
      <c r="F57" s="1160">
        <v>0</v>
      </c>
      <c r="G57" s="1157"/>
      <c r="H57" s="956"/>
      <c r="I57" s="944"/>
    </row>
    <row r="58" spans="1:9" s="17" customFormat="1" ht="14.25" customHeight="1" x14ac:dyDescent="0.2">
      <c r="A58" s="1249"/>
      <c r="B58" s="1250"/>
      <c r="C58" s="1252" t="s">
        <v>683</v>
      </c>
      <c r="D58" s="1253">
        <v>0</v>
      </c>
      <c r="E58" s="1212"/>
      <c r="F58" s="1160">
        <v>30570888</v>
      </c>
      <c r="G58" s="1157"/>
      <c r="H58" s="956"/>
      <c r="I58" s="944"/>
    </row>
    <row r="59" spans="1:9" s="28" customFormat="1" ht="21" customHeight="1" x14ac:dyDescent="0.2">
      <c r="A59" s="1249"/>
      <c r="B59" s="1202" t="s">
        <v>3</v>
      </c>
      <c r="C59" s="1254" t="s">
        <v>67</v>
      </c>
      <c r="D59" s="1255">
        <f>D60+D61</f>
        <v>134725598</v>
      </c>
      <c r="E59" s="1256">
        <f>E60+E61+E58</f>
        <v>134725598</v>
      </c>
      <c r="F59" s="1257">
        <f>F60+F61</f>
        <v>96224182</v>
      </c>
      <c r="G59" s="1158"/>
      <c r="H59" s="957"/>
      <c r="I59" s="958"/>
    </row>
    <row r="60" spans="1:9" s="28" customFormat="1" ht="21" customHeight="1" x14ac:dyDescent="0.2">
      <c r="A60" s="1249"/>
      <c r="B60" s="1202">
        <v>1</v>
      </c>
      <c r="C60" s="1258" t="s">
        <v>244</v>
      </c>
      <c r="D60" s="1259">
        <v>39336500</v>
      </c>
      <c r="E60" s="1229">
        <f>39336500-835084</f>
        <v>38501416</v>
      </c>
      <c r="F60" s="1160">
        <v>0</v>
      </c>
      <c r="G60" s="1158"/>
      <c r="H60" s="957"/>
      <c r="I60" s="958"/>
    </row>
    <row r="61" spans="1:9" s="28" customFormat="1" ht="21" customHeight="1" x14ac:dyDescent="0.2">
      <c r="A61" s="1249"/>
      <c r="B61" s="1250">
        <v>2</v>
      </c>
      <c r="C61" s="1252" t="s">
        <v>240</v>
      </c>
      <c r="D61" s="1253">
        <v>95389098</v>
      </c>
      <c r="E61" s="1212">
        <v>96224182</v>
      </c>
      <c r="F61" s="1160">
        <v>96224182</v>
      </c>
      <c r="G61" s="1158"/>
      <c r="H61" s="957"/>
      <c r="I61" s="958"/>
    </row>
    <row r="62" spans="1:9" s="17" customFormat="1" ht="14.25" customHeight="1" x14ac:dyDescent="0.2">
      <c r="A62" s="1966" t="s">
        <v>168</v>
      </c>
      <c r="B62" s="1967"/>
      <c r="C62" s="1967"/>
      <c r="D62" s="1260">
        <f>D55+D44</f>
        <v>374902001</v>
      </c>
      <c r="E62" s="1260">
        <f t="shared" ref="E62:F62" si="7">E55+E44</f>
        <v>389902001</v>
      </c>
      <c r="F62" s="1260">
        <f t="shared" si="7"/>
        <v>134100304.2</v>
      </c>
      <c r="G62" s="1157"/>
      <c r="H62" s="956"/>
      <c r="I62" s="944"/>
    </row>
    <row r="63" spans="1:9" s="17" customFormat="1" ht="7.5" customHeight="1" x14ac:dyDescent="0.2">
      <c r="A63" s="1201"/>
      <c r="B63" s="1250"/>
      <c r="C63" s="1261"/>
      <c r="D63" s="1262"/>
      <c r="E63" s="1263"/>
      <c r="F63" s="1160"/>
      <c r="G63" s="1157"/>
      <c r="H63" s="956"/>
      <c r="I63" s="944"/>
    </row>
    <row r="64" spans="1:9" s="17" customFormat="1" ht="14.25" customHeight="1" x14ac:dyDescent="0.2">
      <c r="A64" s="1249" t="s">
        <v>24</v>
      </c>
      <c r="B64" s="1250"/>
      <c r="C64" s="1264" t="s">
        <v>165</v>
      </c>
      <c r="D64" s="1265"/>
      <c r="E64" s="1256">
        <f>E66+E68</f>
        <v>0</v>
      </c>
      <c r="F64" s="1160"/>
      <c r="G64" s="1157"/>
      <c r="H64" s="956"/>
      <c r="I64" s="944"/>
    </row>
    <row r="65" spans="1:9" s="17" customFormat="1" ht="8.25" customHeight="1" x14ac:dyDescent="0.2">
      <c r="A65" s="1249"/>
      <c r="B65" s="1250"/>
      <c r="C65" s="1264"/>
      <c r="D65" s="1265"/>
      <c r="E65" s="1229"/>
      <c r="F65" s="1160"/>
      <c r="G65" s="1139"/>
      <c r="H65" s="944"/>
      <c r="I65" s="944"/>
    </row>
    <row r="66" spans="1:9" s="28" customFormat="1" ht="25.5" customHeight="1" x14ac:dyDescent="0.2">
      <c r="A66" s="1249"/>
      <c r="B66" s="1202" t="s">
        <v>2</v>
      </c>
      <c r="C66" s="1254" t="s">
        <v>68</v>
      </c>
      <c r="D66" s="1266"/>
      <c r="E66" s="1256">
        <f>E67</f>
        <v>0</v>
      </c>
      <c r="F66" s="1267"/>
      <c r="G66" s="1159"/>
      <c r="H66" s="958"/>
      <c r="I66" s="958"/>
    </row>
    <row r="67" spans="1:9" s="17" customFormat="1" ht="15" customHeight="1" x14ac:dyDescent="0.2">
      <c r="A67" s="1201"/>
      <c r="B67" s="1268" t="s">
        <v>47</v>
      </c>
      <c r="C67" s="1269"/>
      <c r="D67" s="1270"/>
      <c r="E67" s="1229"/>
      <c r="F67" s="1160"/>
      <c r="G67" s="1139"/>
      <c r="H67" s="944"/>
      <c r="I67" s="944"/>
    </row>
    <row r="68" spans="1:9" s="17" customFormat="1" ht="18.75" customHeight="1" x14ac:dyDescent="0.2">
      <c r="A68" s="1201"/>
      <c r="B68" s="1271" t="s">
        <v>3</v>
      </c>
      <c r="C68" s="1272" t="s">
        <v>78</v>
      </c>
      <c r="D68" s="1273"/>
      <c r="E68" s="1256">
        <f>+E70</f>
        <v>0</v>
      </c>
      <c r="F68" s="1160"/>
      <c r="G68" s="1139"/>
      <c r="H68" s="944"/>
      <c r="I68" s="944"/>
    </row>
    <row r="69" spans="1:9" s="17" customFormat="1" ht="12.75" customHeight="1" x14ac:dyDescent="0.2">
      <c r="A69" s="1201"/>
      <c r="B69" s="1271">
        <v>1</v>
      </c>
      <c r="C69" s="1274"/>
      <c r="D69" s="1275"/>
      <c r="E69" s="1276"/>
      <c r="F69" s="1160"/>
      <c r="G69" s="1139"/>
      <c r="H69" s="944"/>
      <c r="I69" s="944"/>
    </row>
    <row r="70" spans="1:9" s="17" customFormat="1" ht="17.25" customHeight="1" x14ac:dyDescent="0.2">
      <c r="A70" s="1201"/>
      <c r="B70" s="1268"/>
      <c r="C70" s="1269"/>
      <c r="D70" s="1270"/>
      <c r="E70" s="1229"/>
      <c r="F70" s="1160"/>
      <c r="G70" s="1139"/>
      <c r="H70" s="944"/>
      <c r="I70" s="944"/>
    </row>
    <row r="71" spans="1:9" ht="14.25" customHeight="1" x14ac:dyDescent="0.2">
      <c r="A71" s="1968" t="s">
        <v>42</v>
      </c>
      <c r="B71" s="1969"/>
      <c r="C71" s="1969"/>
      <c r="D71" s="1277"/>
      <c r="E71" s="1278">
        <f>E64</f>
        <v>0</v>
      </c>
      <c r="F71" s="1279"/>
      <c r="G71" s="1139"/>
      <c r="H71" s="944"/>
      <c r="I71" s="944"/>
    </row>
    <row r="72" spans="1:9" ht="14.25" customHeight="1" x14ac:dyDescent="0.2">
      <c r="A72" s="1280"/>
      <c r="B72" s="1281"/>
      <c r="C72" s="1282" t="s">
        <v>166</v>
      </c>
      <c r="D72" s="1970">
        <f>D55+D6</f>
        <v>418407475</v>
      </c>
      <c r="E72" s="1961">
        <f>E55+E6</f>
        <v>437348197.10000002</v>
      </c>
      <c r="F72" s="1959">
        <f>F55+F6</f>
        <v>146950891.06999999</v>
      </c>
    </row>
    <row r="73" spans="1:9" ht="14.25" customHeight="1" thickBot="1" x14ac:dyDescent="0.25">
      <c r="A73" s="1283"/>
      <c r="B73" s="1284"/>
      <c r="C73" s="1285" t="s">
        <v>167</v>
      </c>
      <c r="D73" s="1971"/>
      <c r="E73" s="1962"/>
      <c r="F73" s="1960"/>
    </row>
    <row r="74" spans="1:9" ht="12" customHeight="1" x14ac:dyDescent="0.2">
      <c r="A74" s="860"/>
      <c r="B74" s="861"/>
      <c r="C74" s="862"/>
      <c r="D74" s="863"/>
      <c r="E74" s="864"/>
    </row>
    <row r="75" spans="1:9" ht="12" customHeight="1" x14ac:dyDescent="0.2">
      <c r="A75" s="860"/>
      <c r="B75" s="861"/>
      <c r="C75" s="862"/>
      <c r="D75" s="863"/>
      <c r="E75" s="864"/>
    </row>
    <row r="76" spans="1:9" ht="12" customHeight="1" x14ac:dyDescent="0.2">
      <c r="A76" s="860"/>
      <c r="B76" s="861"/>
      <c r="C76" s="862"/>
      <c r="D76" s="863"/>
      <c r="E76" s="864"/>
    </row>
    <row r="77" spans="1:9" ht="12" customHeight="1" x14ac:dyDescent="0.2">
      <c r="A77" s="860"/>
      <c r="B77" s="861"/>
      <c r="C77" s="862"/>
      <c r="D77" s="863"/>
      <c r="E77" s="864"/>
    </row>
    <row r="78" spans="1:9" ht="12" customHeight="1" x14ac:dyDescent="0.2">
      <c r="A78" s="860"/>
      <c r="B78" s="861"/>
      <c r="C78" s="862"/>
      <c r="D78" s="863"/>
      <c r="E78" s="864"/>
    </row>
    <row r="79" spans="1:9" ht="12" customHeight="1" x14ac:dyDescent="0.2">
      <c r="A79" s="860"/>
      <c r="B79" s="861"/>
      <c r="C79" s="862"/>
      <c r="D79" s="863"/>
      <c r="E79" s="864"/>
    </row>
    <row r="80" spans="1:9" ht="12" customHeight="1" x14ac:dyDescent="0.2">
      <c r="A80" s="860"/>
      <c r="B80" s="861"/>
      <c r="C80" s="862"/>
      <c r="D80" s="863"/>
      <c r="E80" s="864"/>
    </row>
    <row r="81" spans="1:5" ht="12" customHeight="1" x14ac:dyDescent="0.2">
      <c r="A81" s="860"/>
      <c r="B81" s="861"/>
      <c r="C81" s="862"/>
      <c r="D81" s="863"/>
      <c r="E81" s="864"/>
    </row>
    <row r="82" spans="1:5" ht="12" customHeight="1" x14ac:dyDescent="0.2">
      <c r="A82" s="860"/>
      <c r="B82" s="861"/>
      <c r="C82" s="862"/>
      <c r="D82" s="863"/>
      <c r="E82" s="864"/>
    </row>
    <row r="83" spans="1:5" ht="12" customHeight="1" x14ac:dyDescent="0.2">
      <c r="A83" s="860"/>
      <c r="B83" s="861"/>
      <c r="C83" s="862"/>
      <c r="D83" s="863"/>
      <c r="E83" s="864"/>
    </row>
    <row r="84" spans="1:5" ht="12" customHeight="1" x14ac:dyDescent="0.2">
      <c r="A84" s="860"/>
      <c r="B84" s="861"/>
      <c r="C84" s="862"/>
      <c r="D84" s="863"/>
      <c r="E84" s="864"/>
    </row>
    <row r="85" spans="1:5" ht="12" customHeight="1" x14ac:dyDescent="0.2">
      <c r="A85" s="860"/>
      <c r="B85" s="861"/>
      <c r="C85" s="862"/>
      <c r="D85" s="863"/>
      <c r="E85" s="864"/>
    </row>
    <row r="86" spans="1:5" ht="12" customHeight="1" x14ac:dyDescent="0.2">
      <c r="A86" s="860"/>
      <c r="B86" s="861"/>
      <c r="C86" s="862"/>
      <c r="D86" s="863"/>
      <c r="E86" s="864"/>
    </row>
    <row r="87" spans="1:5" ht="12" customHeight="1" x14ac:dyDescent="0.2">
      <c r="A87" s="860"/>
      <c r="B87" s="861"/>
      <c r="C87" s="862"/>
      <c r="D87" s="863"/>
      <c r="E87" s="864"/>
    </row>
    <row r="88" spans="1:5" ht="12" customHeight="1" x14ac:dyDescent="0.2">
      <c r="A88" s="860"/>
      <c r="B88" s="861"/>
      <c r="C88" s="862"/>
      <c r="D88" s="863"/>
      <c r="E88" s="864"/>
    </row>
    <row r="89" spans="1:5" ht="12" customHeight="1" x14ac:dyDescent="0.2">
      <c r="A89" s="860"/>
      <c r="B89" s="861"/>
      <c r="C89" s="862"/>
      <c r="D89" s="863"/>
      <c r="E89" s="864"/>
    </row>
    <row r="90" spans="1:5" ht="12" customHeight="1" x14ac:dyDescent="0.2">
      <c r="A90" s="860"/>
      <c r="B90" s="861"/>
      <c r="C90" s="862"/>
      <c r="D90" s="863"/>
      <c r="E90" s="864"/>
    </row>
    <row r="91" spans="1:5" ht="12" customHeight="1" x14ac:dyDescent="0.2">
      <c r="A91" s="860"/>
      <c r="B91" s="861"/>
      <c r="C91" s="862"/>
      <c r="D91" s="863"/>
      <c r="E91" s="864"/>
    </row>
    <row r="92" spans="1:5" ht="12" customHeight="1" x14ac:dyDescent="0.2">
      <c r="A92" s="860"/>
      <c r="B92" s="861"/>
      <c r="C92" s="862"/>
      <c r="D92" s="863"/>
      <c r="E92" s="864"/>
    </row>
    <row r="93" spans="1:5" ht="12" customHeight="1" x14ac:dyDescent="0.2">
      <c r="A93" s="860"/>
      <c r="B93" s="861"/>
      <c r="C93" s="862"/>
      <c r="D93" s="863"/>
      <c r="E93" s="864"/>
    </row>
    <row r="94" spans="1:5" ht="12" customHeight="1" x14ac:dyDescent="0.2">
      <c r="A94" s="860"/>
      <c r="B94" s="861"/>
      <c r="C94" s="862"/>
      <c r="D94" s="863"/>
      <c r="E94" s="864"/>
    </row>
    <row r="95" spans="1:5" ht="12" customHeight="1" x14ac:dyDescent="0.2">
      <c r="A95" s="860"/>
      <c r="B95" s="861"/>
      <c r="C95" s="862"/>
      <c r="D95" s="863"/>
      <c r="E95" s="864"/>
    </row>
    <row r="96" spans="1:5" ht="12" customHeight="1" x14ac:dyDescent="0.2">
      <c r="A96" s="65"/>
      <c r="B96" s="144"/>
      <c r="C96" s="145"/>
      <c r="D96" s="194"/>
    </row>
    <row r="97" spans="1:4" ht="12" customHeight="1" x14ac:dyDescent="0.2">
      <c r="A97" s="65"/>
      <c r="B97" s="144"/>
      <c r="C97" s="145"/>
      <c r="D97" s="194"/>
    </row>
    <row r="98" spans="1:4" ht="12" customHeight="1" x14ac:dyDescent="0.2">
      <c r="A98" s="65"/>
      <c r="B98" s="144"/>
      <c r="C98" s="145"/>
      <c r="D98" s="194"/>
    </row>
    <row r="99" spans="1:4" ht="12" customHeight="1" x14ac:dyDescent="0.2">
      <c r="A99" s="65"/>
      <c r="B99" s="144"/>
      <c r="C99" s="145"/>
      <c r="D99" s="194"/>
    </row>
    <row r="100" spans="1:4" ht="12" customHeight="1" x14ac:dyDescent="0.2">
      <c r="A100" s="65"/>
      <c r="B100" s="144"/>
      <c r="C100" s="145"/>
      <c r="D100" s="194"/>
    </row>
    <row r="101" spans="1:4" ht="12" customHeight="1" x14ac:dyDescent="0.2">
      <c r="A101" s="65"/>
      <c r="B101" s="144"/>
      <c r="C101" s="145"/>
      <c r="D101" s="194"/>
    </row>
    <row r="102" spans="1:4" ht="12" customHeight="1" x14ac:dyDescent="0.2">
      <c r="A102" s="65"/>
      <c r="B102" s="144"/>
      <c r="C102" s="145"/>
      <c r="D102" s="194"/>
    </row>
    <row r="103" spans="1:4" ht="12" customHeight="1" x14ac:dyDescent="0.2">
      <c r="A103" s="65"/>
      <c r="B103" s="144"/>
      <c r="C103" s="145"/>
      <c r="D103" s="194"/>
    </row>
  </sheetData>
  <mergeCells count="7">
    <mergeCell ref="A1:F4"/>
    <mergeCell ref="F72:F73"/>
    <mergeCell ref="E72:E73"/>
    <mergeCell ref="A5:C5"/>
    <mergeCell ref="A62:C62"/>
    <mergeCell ref="A71:C71"/>
    <mergeCell ref="D72:D73"/>
  </mergeCells>
  <phoneticPr fontId="39" type="noConversion"/>
  <printOptions horizontalCentered="1" verticalCentered="1"/>
  <pageMargins left="0.78740157480314965" right="0.78740157480314965" top="0.59055118110236227" bottom="0.39370078740157483" header="0.51181102362204722" footer="0"/>
  <pageSetup paperSize="9" scale="7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9" sqref="E9"/>
    </sheetView>
  </sheetViews>
  <sheetFormatPr defaultRowHeight="12.75" x14ac:dyDescent="0.2"/>
  <cols>
    <col min="2" max="2" width="11.28515625" customWidth="1"/>
    <col min="3" max="3" width="27.5703125" customWidth="1"/>
    <col min="4" max="4" width="27.5703125" style="91" customWidth="1"/>
    <col min="5" max="5" width="47.28515625" customWidth="1"/>
  </cols>
  <sheetData>
    <row r="1" spans="1:5" x14ac:dyDescent="0.2">
      <c r="A1" s="203" t="s">
        <v>43</v>
      </c>
      <c r="B1" s="203"/>
      <c r="C1" s="203"/>
      <c r="D1" s="203"/>
      <c r="E1" s="203"/>
    </row>
    <row r="2" spans="1:5" x14ac:dyDescent="0.2">
      <c r="A2" s="203"/>
      <c r="B2" s="203"/>
      <c r="C2" s="203"/>
      <c r="D2" s="203"/>
      <c r="E2" s="203"/>
    </row>
    <row r="3" spans="1:5" x14ac:dyDescent="0.2">
      <c r="A3" s="204"/>
      <c r="B3" s="205"/>
      <c r="C3" s="205"/>
      <c r="D3" s="205"/>
      <c r="E3" s="206"/>
    </row>
    <row r="4" spans="1:5" x14ac:dyDescent="0.2">
      <c r="A4" s="204"/>
      <c r="B4" s="205"/>
      <c r="C4" s="205"/>
      <c r="D4" s="205"/>
      <c r="E4" s="206"/>
    </row>
    <row r="5" spans="1:5" x14ac:dyDescent="0.2">
      <c r="A5" s="204"/>
      <c r="B5" s="205"/>
      <c r="C5" s="205"/>
      <c r="D5" s="205"/>
      <c r="E5" s="206"/>
    </row>
    <row r="6" spans="1:5" x14ac:dyDescent="0.2">
      <c r="A6" s="204"/>
      <c r="B6" s="205"/>
      <c r="C6" s="205"/>
      <c r="D6" s="205"/>
      <c r="E6" s="206"/>
    </row>
    <row r="7" spans="1:5" x14ac:dyDescent="0.2">
      <c r="A7" s="204"/>
      <c r="B7" s="205"/>
      <c r="C7" s="205"/>
      <c r="D7" s="205"/>
      <c r="E7" s="207"/>
    </row>
    <row r="8" spans="1:5" ht="13.5" thickBot="1" x14ac:dyDescent="0.25">
      <c r="A8" s="204"/>
      <c r="B8" s="205"/>
      <c r="C8" s="205"/>
      <c r="D8" s="205"/>
      <c r="E8" s="207" t="s">
        <v>296</v>
      </c>
    </row>
    <row r="9" spans="1:5" ht="39" thickBot="1" x14ac:dyDescent="0.25">
      <c r="A9" s="208" t="s">
        <v>297</v>
      </c>
      <c r="B9" s="209" t="s">
        <v>630</v>
      </c>
      <c r="C9" s="210" t="s">
        <v>631</v>
      </c>
      <c r="D9" s="210" t="s">
        <v>632</v>
      </c>
      <c r="E9" s="211" t="s">
        <v>298</v>
      </c>
    </row>
    <row r="10" spans="1:5" x14ac:dyDescent="0.2">
      <c r="A10" s="212"/>
      <c r="B10" s="213">
        <v>0</v>
      </c>
      <c r="C10" s="214">
        <v>0</v>
      </c>
      <c r="D10" s="367"/>
      <c r="E10" s="215"/>
    </row>
    <row r="11" spans="1:5" ht="13.5" thickBot="1" x14ac:dyDescent="0.25">
      <c r="A11" s="212"/>
      <c r="B11" s="213"/>
      <c r="C11" s="214"/>
      <c r="D11" s="368"/>
      <c r="E11" s="216"/>
    </row>
    <row r="12" spans="1:5" ht="13.5" thickBot="1" x14ac:dyDescent="0.25">
      <c r="A12" s="217" t="s">
        <v>299</v>
      </c>
      <c r="B12" s="218">
        <f>SUM(B10:B11)</f>
        <v>0</v>
      </c>
      <c r="C12" s="219">
        <f>SUM(C10:C11)</f>
        <v>0</v>
      </c>
      <c r="D12" s="219">
        <f>SUM(D10:D11)</f>
        <v>0</v>
      </c>
      <c r="E12" s="220"/>
    </row>
    <row r="13" spans="1:5" x14ac:dyDescent="0.2">
      <c r="A13" s="221"/>
      <c r="B13" s="221"/>
      <c r="C13" s="221"/>
      <c r="D13" s="221"/>
      <c r="E13" s="222"/>
    </row>
    <row r="14" spans="1:5" x14ac:dyDescent="0.2">
      <c r="A14" s="221"/>
      <c r="B14" s="221"/>
      <c r="C14" s="221"/>
      <c r="D14" s="221"/>
      <c r="E14" s="22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9"/>
  <sheetViews>
    <sheetView topLeftCell="A10" workbookViewId="0">
      <selection activeCell="I18" sqref="I18"/>
    </sheetView>
  </sheetViews>
  <sheetFormatPr defaultRowHeight="12.75" x14ac:dyDescent="0.2"/>
  <cols>
    <col min="1" max="1" width="13.85546875" style="670" customWidth="1"/>
    <col min="2" max="2" width="17.140625" style="273" customWidth="1"/>
    <col min="3" max="3" width="22.42578125" style="670" customWidth="1"/>
    <col min="4" max="7" width="9.140625" style="670"/>
    <col min="8" max="8" width="11.140625" style="670" customWidth="1"/>
    <col min="9" max="9" width="11.42578125" style="670" customWidth="1"/>
  </cols>
  <sheetData>
    <row r="1" spans="1:9" ht="15" x14ac:dyDescent="0.25">
      <c r="A1" s="369"/>
      <c r="B1" s="1134"/>
      <c r="C1" s="369"/>
      <c r="D1" s="370"/>
      <c r="E1" s="370"/>
      <c r="F1" s="1028"/>
      <c r="G1" s="1028"/>
      <c r="H1" s="1028"/>
      <c r="I1" s="1028"/>
    </row>
    <row r="2" spans="1:9" ht="55.5" customHeight="1" x14ac:dyDescent="0.25">
      <c r="A2" s="369"/>
      <c r="B2" s="1134"/>
      <c r="C2" s="369"/>
      <c r="D2" s="370"/>
      <c r="E2" s="370"/>
      <c r="F2" s="1028"/>
      <c r="G2" s="1028"/>
      <c r="H2" s="1028"/>
      <c r="I2" s="1028"/>
    </row>
    <row r="3" spans="1:9" ht="28.5" customHeight="1" x14ac:dyDescent="0.25">
      <c r="A3" s="369"/>
      <c r="B3" s="1134"/>
      <c r="C3" s="369"/>
      <c r="D3" s="370"/>
      <c r="E3" s="370"/>
      <c r="F3" s="1028"/>
      <c r="G3" s="1028"/>
      <c r="H3" s="1028"/>
      <c r="I3" s="1028"/>
    </row>
    <row r="4" spans="1:9" ht="12.75" customHeight="1" x14ac:dyDescent="0.25">
      <c r="A4" s="369"/>
      <c r="B4" s="1134"/>
      <c r="C4" s="369"/>
      <c r="D4" s="370"/>
      <c r="E4" s="370"/>
      <c r="F4" s="1028"/>
      <c r="G4" s="1028"/>
      <c r="H4" s="1028"/>
      <c r="I4" s="1028"/>
    </row>
    <row r="5" spans="1:9" ht="46.5" customHeight="1" thickBot="1" x14ac:dyDescent="0.25">
      <c r="A5" s="1980" t="s">
        <v>575</v>
      </c>
      <c r="B5" s="1980"/>
      <c r="C5" s="1980"/>
      <c r="D5" s="1980"/>
      <c r="E5" s="1980"/>
      <c r="F5" s="1980"/>
      <c r="G5" s="1980"/>
      <c r="H5" s="1980"/>
      <c r="I5" s="371" t="s">
        <v>296</v>
      </c>
    </row>
    <row r="6" spans="1:9" ht="62.25" customHeight="1" x14ac:dyDescent="0.2">
      <c r="A6" s="1029" t="s">
        <v>480</v>
      </c>
      <c r="B6" s="1031" t="s">
        <v>300</v>
      </c>
      <c r="C6" s="1031"/>
      <c r="D6" s="1033"/>
      <c r="E6" s="1033"/>
      <c r="F6" s="1033"/>
      <c r="G6" s="1033"/>
      <c r="H6" s="1033"/>
      <c r="I6" s="1034" t="s">
        <v>301</v>
      </c>
    </row>
    <row r="7" spans="1:9" ht="63" x14ac:dyDescent="0.2">
      <c r="A7" s="1030"/>
      <c r="B7" s="1032"/>
      <c r="C7" s="1032"/>
      <c r="D7" s="388" t="s">
        <v>302</v>
      </c>
      <c r="E7" s="1032" t="s">
        <v>303</v>
      </c>
      <c r="F7" s="1032" t="s">
        <v>210</v>
      </c>
      <c r="G7" s="1032" t="s">
        <v>304</v>
      </c>
      <c r="H7" s="1032" t="s">
        <v>305</v>
      </c>
      <c r="I7" s="1035"/>
    </row>
    <row r="8" spans="1:9" ht="33.75" x14ac:dyDescent="0.2">
      <c r="A8" s="1972">
        <v>1</v>
      </c>
      <c r="B8" s="372" t="s">
        <v>226</v>
      </c>
      <c r="C8" s="387" t="s">
        <v>576</v>
      </c>
      <c r="D8" s="344"/>
      <c r="E8" s="344"/>
      <c r="F8" s="344"/>
      <c r="G8" s="344"/>
      <c r="H8" s="344"/>
      <c r="I8" s="389"/>
    </row>
    <row r="9" spans="1:9" s="91" customFormat="1" x14ac:dyDescent="0.2">
      <c r="A9" s="1973"/>
      <c r="B9" s="1976" t="s">
        <v>254</v>
      </c>
      <c r="C9" s="1977"/>
      <c r="D9" s="344"/>
      <c r="E9" s="344"/>
      <c r="F9" s="344"/>
      <c r="G9" s="344"/>
      <c r="H9" s="344"/>
      <c r="I9" s="389">
        <f>'5 kiadások'!R222</f>
        <v>960000</v>
      </c>
    </row>
    <row r="10" spans="1:9" s="91" customFormat="1" x14ac:dyDescent="0.2">
      <c r="A10" s="1973"/>
      <c r="B10" s="1976" t="s">
        <v>255</v>
      </c>
      <c r="C10" s="1977"/>
      <c r="D10" s="344"/>
      <c r="E10" s="344"/>
      <c r="F10" s="344"/>
      <c r="G10" s="344"/>
      <c r="H10" s="344">
        <v>0</v>
      </c>
      <c r="I10" s="389">
        <f>'5 kiadások'!R223</f>
        <v>960000</v>
      </c>
    </row>
    <row r="11" spans="1:9" s="91" customFormat="1" x14ac:dyDescent="0.2">
      <c r="A11" s="1974"/>
      <c r="B11" s="1976" t="s">
        <v>256</v>
      </c>
      <c r="C11" s="1977"/>
      <c r="D11" s="344"/>
      <c r="E11" s="344"/>
      <c r="F11" s="344"/>
      <c r="G11" s="344"/>
      <c r="H11" s="344">
        <v>0</v>
      </c>
      <c r="I11" s="389">
        <f>'5 kiadások'!R224</f>
        <v>670910</v>
      </c>
    </row>
    <row r="12" spans="1:9" s="670" customFormat="1" ht="22.5" x14ac:dyDescent="0.2">
      <c r="A12" s="1972">
        <v>2</v>
      </c>
      <c r="B12" s="1135" t="s">
        <v>669</v>
      </c>
      <c r="C12" s="1027" t="s">
        <v>737</v>
      </c>
      <c r="D12" s="344"/>
      <c r="E12" s="344"/>
      <c r="F12" s="344"/>
      <c r="G12" s="344"/>
      <c r="H12" s="344"/>
      <c r="I12" s="389"/>
    </row>
    <row r="13" spans="1:9" s="670" customFormat="1" x14ac:dyDescent="0.2">
      <c r="A13" s="1973"/>
      <c r="B13" s="1135" t="s">
        <v>254</v>
      </c>
      <c r="C13" s="1027"/>
      <c r="D13" s="344"/>
      <c r="E13" s="344"/>
      <c r="F13" s="344"/>
      <c r="G13" s="344"/>
      <c r="H13" s="344">
        <f>'3 bevételek'!G691</f>
        <v>75000000</v>
      </c>
      <c r="I13" s="389">
        <f>'5 kiadások'!R230</f>
        <v>71755290</v>
      </c>
    </row>
    <row r="14" spans="1:9" s="670" customFormat="1" x14ac:dyDescent="0.2">
      <c r="A14" s="1973"/>
      <c r="B14" s="1135" t="s">
        <v>255</v>
      </c>
      <c r="C14" s="1027"/>
      <c r="D14" s="344"/>
      <c r="E14" s="344"/>
      <c r="F14" s="344"/>
      <c r="G14" s="344"/>
      <c r="H14" s="344">
        <f>'3 bevételek'!G692</f>
        <v>75000000</v>
      </c>
      <c r="I14" s="389">
        <f>'5 kiadások'!R231</f>
        <v>71755290</v>
      </c>
    </row>
    <row r="15" spans="1:9" s="670" customFormat="1" x14ac:dyDescent="0.2">
      <c r="A15" s="1974"/>
      <c r="B15" s="1135" t="s">
        <v>256</v>
      </c>
      <c r="C15" s="1027"/>
      <c r="D15" s="344"/>
      <c r="E15" s="344"/>
      <c r="F15" s="344"/>
      <c r="G15" s="344"/>
      <c r="H15" s="344">
        <f>'3 bevételek'!G693</f>
        <v>75000000</v>
      </c>
      <c r="I15" s="389">
        <f>'5 kiadások'!R232</f>
        <v>2553850</v>
      </c>
    </row>
    <row r="16" spans="1:9" ht="33" customHeight="1" x14ac:dyDescent="0.2">
      <c r="A16" s="1972">
        <v>3</v>
      </c>
      <c r="B16" s="374" t="s">
        <v>227</v>
      </c>
      <c r="C16" s="384" t="s">
        <v>577</v>
      </c>
      <c r="D16" s="344"/>
      <c r="E16" s="344"/>
      <c r="F16" s="344"/>
      <c r="G16" s="344"/>
      <c r="H16" s="375"/>
      <c r="I16" s="389"/>
    </row>
    <row r="17" spans="1:9" s="91" customFormat="1" ht="18.75" customHeight="1" x14ac:dyDescent="0.2">
      <c r="A17" s="1973"/>
      <c r="B17" s="1976" t="s">
        <v>254</v>
      </c>
      <c r="C17" s="1977"/>
      <c r="D17" s="344"/>
      <c r="E17" s="344"/>
      <c r="F17" s="344"/>
      <c r="G17" s="344"/>
      <c r="H17" s="375">
        <v>0</v>
      </c>
      <c r="I17" s="389">
        <f>'5 kiadások'!R234</f>
        <v>98681812</v>
      </c>
    </row>
    <row r="18" spans="1:9" s="91" customFormat="1" ht="16.5" customHeight="1" x14ac:dyDescent="0.2">
      <c r="A18" s="1973"/>
      <c r="B18" s="1976" t="s">
        <v>255</v>
      </c>
      <c r="C18" s="1977"/>
      <c r="D18" s="344"/>
      <c r="E18" s="344"/>
      <c r="F18" s="344"/>
      <c r="G18" s="344"/>
      <c r="H18" s="375">
        <v>0</v>
      </c>
      <c r="I18" s="389">
        <f>'5 kiadások'!R235</f>
        <v>103938290</v>
      </c>
    </row>
    <row r="19" spans="1:9" s="91" customFormat="1" ht="13.5" customHeight="1" x14ac:dyDescent="0.2">
      <c r="A19" s="1974"/>
      <c r="B19" s="1976" t="s">
        <v>256</v>
      </c>
      <c r="C19" s="1977"/>
      <c r="D19" s="344"/>
      <c r="E19" s="344"/>
      <c r="F19" s="344"/>
      <c r="G19" s="344"/>
      <c r="H19" s="375">
        <v>0</v>
      </c>
      <c r="I19" s="389">
        <f>'5 kiadások'!R236</f>
        <v>97647585</v>
      </c>
    </row>
    <row r="20" spans="1:9" ht="22.5" x14ac:dyDescent="0.2">
      <c r="A20" s="1972">
        <f>A16+1</f>
        <v>4</v>
      </c>
      <c r="B20" s="374" t="s">
        <v>228</v>
      </c>
      <c r="C20" s="385" t="s">
        <v>578</v>
      </c>
      <c r="D20" s="344"/>
      <c r="E20" s="344"/>
      <c r="F20" s="344"/>
      <c r="G20" s="344"/>
      <c r="H20" s="375"/>
      <c r="I20" s="389"/>
    </row>
    <row r="21" spans="1:9" s="91" customFormat="1" x14ac:dyDescent="0.2">
      <c r="A21" s="1973"/>
      <c r="B21" s="1976" t="s">
        <v>254</v>
      </c>
      <c r="C21" s="1977"/>
      <c r="D21" s="344"/>
      <c r="E21" s="344"/>
      <c r="F21" s="344"/>
      <c r="G21" s="344"/>
      <c r="H21" s="375">
        <f>'3 bevételek'!H695</f>
        <v>139204250</v>
      </c>
      <c r="I21" s="389">
        <f>'5 kiadások'!R238</f>
        <v>139204250</v>
      </c>
    </row>
    <row r="22" spans="1:9" s="91" customFormat="1" x14ac:dyDescent="0.2">
      <c r="A22" s="1973"/>
      <c r="B22" s="1976" t="s">
        <v>255</v>
      </c>
      <c r="C22" s="1977"/>
      <c r="D22" s="344"/>
      <c r="E22" s="344"/>
      <c r="F22" s="344"/>
      <c r="G22" s="344"/>
      <c r="H22" s="375">
        <f>'3 bevételek'!H696</f>
        <v>139204250</v>
      </c>
      <c r="I22" s="389">
        <f>'5 kiadások'!R239</f>
        <v>135486930</v>
      </c>
    </row>
    <row r="23" spans="1:9" s="91" customFormat="1" x14ac:dyDescent="0.2">
      <c r="A23" s="1974"/>
      <c r="B23" s="1976" t="s">
        <v>256</v>
      </c>
      <c r="C23" s="1977"/>
      <c r="D23" s="344"/>
      <c r="E23" s="344"/>
      <c r="F23" s="344"/>
      <c r="G23" s="344"/>
      <c r="H23" s="375">
        <f>'3 bevételek'!H697</f>
        <v>139190329</v>
      </c>
      <c r="I23" s="389">
        <f>'5 kiadások'!R240</f>
        <v>4751384.2</v>
      </c>
    </row>
    <row r="24" spans="1:9" ht="22.5" x14ac:dyDescent="0.2">
      <c r="A24" s="1972">
        <f t="shared" ref="A24" si="0">A20+1</f>
        <v>5</v>
      </c>
      <c r="B24" s="374" t="s">
        <v>229</v>
      </c>
      <c r="C24" s="385" t="s">
        <v>579</v>
      </c>
      <c r="D24" s="344"/>
      <c r="E24" s="344"/>
      <c r="F24" s="344"/>
      <c r="G24" s="344"/>
      <c r="H24" s="344"/>
      <c r="I24" s="389"/>
    </row>
    <row r="25" spans="1:9" x14ac:dyDescent="0.2">
      <c r="A25" s="1973"/>
      <c r="B25" s="1976" t="s">
        <v>254</v>
      </c>
      <c r="C25" s="1977"/>
      <c r="D25" s="344"/>
      <c r="E25" s="344"/>
      <c r="F25" s="344"/>
      <c r="G25" s="344"/>
      <c r="H25" s="344">
        <v>0</v>
      </c>
      <c r="I25" s="389">
        <f>'5 kiadások'!H242</f>
        <v>1744000</v>
      </c>
    </row>
    <row r="26" spans="1:9" s="91" customFormat="1" x14ac:dyDescent="0.2">
      <c r="A26" s="1973"/>
      <c r="B26" s="1976" t="s">
        <v>255</v>
      </c>
      <c r="C26" s="1977"/>
      <c r="D26" s="344"/>
      <c r="E26" s="344"/>
      <c r="F26" s="344"/>
      <c r="G26" s="344"/>
      <c r="H26" s="344">
        <v>0</v>
      </c>
      <c r="I26" s="389">
        <f>'5 kiadások'!H243</f>
        <v>0</v>
      </c>
    </row>
    <row r="27" spans="1:9" x14ac:dyDescent="0.2">
      <c r="A27" s="1974"/>
      <c r="B27" s="1976" t="s">
        <v>256</v>
      </c>
      <c r="C27" s="1977"/>
      <c r="D27" s="344"/>
      <c r="E27" s="344"/>
      <c r="F27" s="344"/>
      <c r="G27" s="344"/>
      <c r="H27" s="344">
        <v>0</v>
      </c>
      <c r="I27" s="389">
        <f>'5 kiadások'!H244</f>
        <v>0</v>
      </c>
    </row>
    <row r="28" spans="1:9" s="670" customFormat="1" ht="22.5" x14ac:dyDescent="0.2">
      <c r="A28" s="1972">
        <v>6</v>
      </c>
      <c r="B28" s="1135" t="s">
        <v>738</v>
      </c>
      <c r="C28" s="1027" t="s">
        <v>739</v>
      </c>
      <c r="D28" s="344"/>
      <c r="E28" s="344"/>
      <c r="F28" s="344"/>
      <c r="G28" s="344"/>
      <c r="H28" s="344"/>
      <c r="I28" s="389"/>
    </row>
    <row r="29" spans="1:9" s="670" customFormat="1" x14ac:dyDescent="0.2">
      <c r="A29" s="1973"/>
      <c r="B29" s="1976" t="s">
        <v>254</v>
      </c>
      <c r="C29" s="1977"/>
      <c r="D29" s="344"/>
      <c r="E29" s="344"/>
      <c r="F29" s="344"/>
      <c r="G29" s="344"/>
      <c r="H29" s="344">
        <f>'3 bevételek'!H699</f>
        <v>0</v>
      </c>
      <c r="I29" s="389">
        <f>'5 kiadások'!R246</f>
        <v>0</v>
      </c>
    </row>
    <row r="30" spans="1:9" s="670" customFormat="1" x14ac:dyDescent="0.2">
      <c r="A30" s="1973"/>
      <c r="B30" s="1976" t="s">
        <v>255</v>
      </c>
      <c r="C30" s="1977"/>
      <c r="D30" s="344"/>
      <c r="E30" s="344"/>
      <c r="F30" s="344"/>
      <c r="G30" s="344"/>
      <c r="H30" s="344">
        <f>'3 bevételek'!H700</f>
        <v>27203979</v>
      </c>
      <c r="I30" s="389">
        <f>'5 kiadások'!R247</f>
        <v>19704143</v>
      </c>
    </row>
    <row r="31" spans="1:9" s="670" customFormat="1" x14ac:dyDescent="0.2">
      <c r="A31" s="1974"/>
      <c r="B31" s="1976" t="s">
        <v>256</v>
      </c>
      <c r="C31" s="1977"/>
      <c r="D31" s="344"/>
      <c r="E31" s="344"/>
      <c r="F31" s="344"/>
      <c r="G31" s="344"/>
      <c r="H31" s="344">
        <f>'3 bevételek'!H701</f>
        <v>0</v>
      </c>
      <c r="I31" s="389">
        <f>'5 kiadások'!R248</f>
        <v>341428.23</v>
      </c>
    </row>
    <row r="32" spans="1:9" s="670" customFormat="1" ht="24" customHeight="1" x14ac:dyDescent="0.2">
      <c r="A32" s="1972">
        <v>7</v>
      </c>
      <c r="B32" s="1135" t="s">
        <v>740</v>
      </c>
      <c r="C32" s="1027" t="s">
        <v>741</v>
      </c>
      <c r="E32" s="344"/>
      <c r="F32" s="344"/>
      <c r="G32" s="344"/>
      <c r="H32" s="344"/>
      <c r="I32" s="389"/>
    </row>
    <row r="33" spans="1:9" s="670" customFormat="1" x14ac:dyDescent="0.2">
      <c r="A33" s="1973"/>
      <c r="B33" s="1976" t="s">
        <v>254</v>
      </c>
      <c r="C33" s="1977"/>
      <c r="D33" s="344">
        <f>'5 kiadások'!N250</f>
        <v>8769066</v>
      </c>
      <c r="E33" s="344"/>
      <c r="F33" s="344"/>
      <c r="G33" s="344"/>
      <c r="H33" s="344"/>
      <c r="I33" s="389">
        <v>8769066</v>
      </c>
    </row>
    <row r="34" spans="1:9" s="670" customFormat="1" x14ac:dyDescent="0.2">
      <c r="A34" s="1973"/>
      <c r="B34" s="1976" t="s">
        <v>255</v>
      </c>
      <c r="C34" s="1977"/>
      <c r="D34" s="344">
        <f>'5 kiadások'!N251</f>
        <v>8769066</v>
      </c>
      <c r="E34" s="344"/>
      <c r="F34" s="344"/>
      <c r="G34" s="344"/>
      <c r="H34" s="344"/>
      <c r="I34" s="389">
        <f t="shared" ref="I34:I35" si="1">D34</f>
        <v>8769066</v>
      </c>
    </row>
    <row r="35" spans="1:9" s="670" customFormat="1" x14ac:dyDescent="0.2">
      <c r="A35" s="1974"/>
      <c r="B35" s="1976" t="s">
        <v>256</v>
      </c>
      <c r="C35" s="1977"/>
      <c r="D35" s="344">
        <f>'5 kiadások'!N253</f>
        <v>0</v>
      </c>
      <c r="E35" s="344"/>
      <c r="F35" s="344"/>
      <c r="G35" s="344"/>
      <c r="H35" s="344"/>
      <c r="I35" s="389">
        <f t="shared" si="1"/>
        <v>0</v>
      </c>
    </row>
    <row r="36" spans="1:9" ht="22.5" x14ac:dyDescent="0.2">
      <c r="A36" s="1972">
        <v>8</v>
      </c>
      <c r="B36" s="374" t="s">
        <v>230</v>
      </c>
      <c r="C36" s="385" t="s">
        <v>580</v>
      </c>
      <c r="D36" s="344"/>
      <c r="E36" s="344"/>
      <c r="F36" s="344"/>
      <c r="G36" s="344"/>
      <c r="H36" s="344"/>
      <c r="I36" s="389">
        <f t="shared" ref="I36:I43" si="2">SUM(D36:H36)</f>
        <v>0</v>
      </c>
    </row>
    <row r="37" spans="1:9" s="91" customFormat="1" x14ac:dyDescent="0.2">
      <c r="A37" s="1973"/>
      <c r="B37" s="1976" t="s">
        <v>254</v>
      </c>
      <c r="C37" s="1977"/>
      <c r="D37" s="344">
        <f>'5 kiadások'!R258</f>
        <v>13384581</v>
      </c>
      <c r="E37" s="344"/>
      <c r="F37" s="344"/>
      <c r="G37" s="344"/>
      <c r="H37" s="344"/>
      <c r="I37" s="389">
        <f t="shared" si="2"/>
        <v>13384581</v>
      </c>
    </row>
    <row r="38" spans="1:9" s="91" customFormat="1" x14ac:dyDescent="0.2">
      <c r="A38" s="1973"/>
      <c r="B38" s="1976" t="s">
        <v>255</v>
      </c>
      <c r="C38" s="1977"/>
      <c r="D38" s="344">
        <f>'5 kiadások'!R259</f>
        <v>13384581</v>
      </c>
      <c r="E38" s="344"/>
      <c r="F38" s="344"/>
      <c r="G38" s="344"/>
      <c r="H38" s="344"/>
      <c r="I38" s="389">
        <f t="shared" si="2"/>
        <v>13384581</v>
      </c>
    </row>
    <row r="39" spans="1:9" s="91" customFormat="1" x14ac:dyDescent="0.2">
      <c r="A39" s="1974"/>
      <c r="B39" s="1976" t="s">
        <v>256</v>
      </c>
      <c r="C39" s="1977"/>
      <c r="D39" s="344">
        <f>'5 kiadások'!R260</f>
        <v>0</v>
      </c>
      <c r="E39" s="344"/>
      <c r="F39" s="344"/>
      <c r="G39" s="344"/>
      <c r="H39" s="344">
        <v>0</v>
      </c>
      <c r="I39" s="389">
        <f t="shared" si="2"/>
        <v>0</v>
      </c>
    </row>
    <row r="40" spans="1:9" ht="22.5" x14ac:dyDescent="0.2">
      <c r="A40" s="1972">
        <f>A36+1</f>
        <v>9</v>
      </c>
      <c r="B40" s="374" t="s">
        <v>742</v>
      </c>
      <c r="C40" s="1138" t="s">
        <v>743</v>
      </c>
      <c r="D40" s="344"/>
      <c r="E40" s="344"/>
      <c r="F40" s="344"/>
      <c r="G40" s="344"/>
      <c r="H40" s="344"/>
      <c r="I40" s="389">
        <f t="shared" si="2"/>
        <v>0</v>
      </c>
    </row>
    <row r="41" spans="1:9" s="91" customFormat="1" x14ac:dyDescent="0.2">
      <c r="A41" s="1973"/>
      <c r="B41" s="1976" t="s">
        <v>254</v>
      </c>
      <c r="C41" s="1977"/>
      <c r="D41" s="344">
        <v>750000</v>
      </c>
      <c r="E41" s="344"/>
      <c r="F41" s="344"/>
      <c r="G41" s="344"/>
      <c r="H41" s="344"/>
      <c r="I41" s="389">
        <f t="shared" si="2"/>
        <v>750000</v>
      </c>
    </row>
    <row r="42" spans="1:9" s="91" customFormat="1" x14ac:dyDescent="0.2">
      <c r="A42" s="1973"/>
      <c r="B42" s="1976" t="s">
        <v>255</v>
      </c>
      <c r="C42" s="1977"/>
      <c r="D42" s="344">
        <v>750000</v>
      </c>
      <c r="E42" s="344"/>
      <c r="F42" s="344"/>
      <c r="G42" s="344"/>
      <c r="H42" s="344"/>
      <c r="I42" s="389">
        <f t="shared" si="2"/>
        <v>750000</v>
      </c>
    </row>
    <row r="43" spans="1:9" s="91" customFormat="1" ht="13.5" thickBot="1" x14ac:dyDescent="0.25">
      <c r="A43" s="1975"/>
      <c r="B43" s="1978" t="s">
        <v>256</v>
      </c>
      <c r="C43" s="1979"/>
      <c r="D43" s="390">
        <v>0</v>
      </c>
      <c r="E43" s="390"/>
      <c r="F43" s="390"/>
      <c r="G43" s="390"/>
      <c r="H43" s="390">
        <v>0</v>
      </c>
      <c r="I43" s="391">
        <f t="shared" si="2"/>
        <v>0</v>
      </c>
    </row>
    <row r="44" spans="1:9" s="91" customFormat="1" x14ac:dyDescent="0.2">
      <c r="A44" s="376"/>
      <c r="B44" s="1136"/>
      <c r="C44" s="186"/>
      <c r="D44" s="373"/>
      <c r="E44" s="373"/>
      <c r="F44" s="373"/>
      <c r="G44" s="373"/>
      <c r="H44" s="373"/>
      <c r="I44" s="386"/>
    </row>
    <row r="45" spans="1:9" x14ac:dyDescent="0.2">
      <c r="A45" s="1040" t="s">
        <v>581</v>
      </c>
      <c r="B45" s="1137"/>
      <c r="C45" s="1041"/>
      <c r="D45" s="1041"/>
      <c r="E45" s="1041"/>
      <c r="F45" s="1041"/>
      <c r="G45" s="1041"/>
      <c r="H45" s="1041"/>
      <c r="I45" s="1041"/>
    </row>
    <row r="46" spans="1:9" ht="44.25" customHeight="1" x14ac:dyDescent="0.2">
      <c r="A46" s="1042" t="s">
        <v>480</v>
      </c>
      <c r="B46" s="1044" t="s">
        <v>300</v>
      </c>
      <c r="C46" s="1045"/>
      <c r="D46" s="1048" t="s">
        <v>169</v>
      </c>
      <c r="E46" s="1048"/>
      <c r="F46" s="1048"/>
      <c r="G46" s="377"/>
      <c r="H46" s="377"/>
      <c r="I46" s="377"/>
    </row>
    <row r="47" spans="1:9" ht="23.25" customHeight="1" x14ac:dyDescent="0.2">
      <c r="A47" s="1043"/>
      <c r="B47" s="1046"/>
      <c r="C47" s="1047"/>
      <c r="D47" s="1049" t="s">
        <v>306</v>
      </c>
      <c r="E47" s="1049" t="s">
        <v>307</v>
      </c>
      <c r="F47" s="1049"/>
      <c r="G47" s="377"/>
      <c r="H47" s="378"/>
      <c r="I47" s="378"/>
    </row>
    <row r="48" spans="1:9" ht="15" x14ac:dyDescent="0.25">
      <c r="A48" s="379">
        <v>1</v>
      </c>
      <c r="B48" s="1050"/>
      <c r="C48" s="1051"/>
      <c r="D48" s="380"/>
      <c r="E48" s="1036"/>
      <c r="F48" s="1036"/>
      <c r="G48" s="381"/>
      <c r="H48" s="381"/>
      <c r="I48" s="381"/>
    </row>
    <row r="49" spans="1:9" ht="15" x14ac:dyDescent="0.25">
      <c r="A49" s="382">
        <v>2</v>
      </c>
      <c r="B49" s="1037"/>
      <c r="C49" s="1038"/>
      <c r="D49" s="383"/>
      <c r="E49" s="1039"/>
      <c r="F49" s="1039"/>
      <c r="G49" s="370"/>
      <c r="H49" s="370"/>
      <c r="I49" s="370"/>
    </row>
  </sheetData>
  <mergeCells count="34">
    <mergeCell ref="B17:C17"/>
    <mergeCell ref="B33:C33"/>
    <mergeCell ref="B34:C34"/>
    <mergeCell ref="B25:C25"/>
    <mergeCell ref="B26:C26"/>
    <mergeCell ref="B27:C27"/>
    <mergeCell ref="B18:C18"/>
    <mergeCell ref="B19:C19"/>
    <mergeCell ref="B21:C21"/>
    <mergeCell ref="B22:C22"/>
    <mergeCell ref="B23:C23"/>
    <mergeCell ref="A8:A11"/>
    <mergeCell ref="B9:C9"/>
    <mergeCell ref="B10:C10"/>
    <mergeCell ref="B11:C11"/>
    <mergeCell ref="A5:H5"/>
    <mergeCell ref="A12:A15"/>
    <mergeCell ref="A16:A19"/>
    <mergeCell ref="A20:A23"/>
    <mergeCell ref="A24:A27"/>
    <mergeCell ref="A28:A31"/>
    <mergeCell ref="A36:A39"/>
    <mergeCell ref="A40:A43"/>
    <mergeCell ref="B29:C29"/>
    <mergeCell ref="B30:C30"/>
    <mergeCell ref="B31:C31"/>
    <mergeCell ref="B41:C41"/>
    <mergeCell ref="B42:C42"/>
    <mergeCell ref="B43:C43"/>
    <mergeCell ref="A32:A35"/>
    <mergeCell ref="B35:C35"/>
    <mergeCell ref="B37:C37"/>
    <mergeCell ref="B38:C38"/>
    <mergeCell ref="B39:C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0"/>
  <sheetViews>
    <sheetView topLeftCell="A7" workbookViewId="0">
      <selection activeCell="A19" sqref="A19:H19"/>
    </sheetView>
  </sheetViews>
  <sheetFormatPr defaultRowHeight="12.75" x14ac:dyDescent="0.2"/>
  <cols>
    <col min="2" max="2" width="18.28515625" customWidth="1"/>
    <col min="3" max="3" width="9.5703125" bestFit="1" customWidth="1"/>
    <col min="7" max="7" width="10.85546875" customWidth="1"/>
    <col min="8" max="8" width="11.7109375" customWidth="1"/>
  </cols>
  <sheetData>
    <row r="1" spans="1:9" x14ac:dyDescent="0.2">
      <c r="A1" s="224"/>
      <c r="B1" s="225"/>
      <c r="C1" s="225"/>
      <c r="D1" s="226"/>
      <c r="E1" s="226"/>
      <c r="F1" s="226"/>
      <c r="G1" s="226"/>
      <c r="H1" s="227"/>
    </row>
    <row r="2" spans="1:9" ht="33.75" customHeight="1" thickBot="1" x14ac:dyDescent="0.25">
      <c r="A2" s="224"/>
      <c r="B2" s="225"/>
      <c r="C2" s="225"/>
      <c r="D2" s="226"/>
      <c r="E2" s="226"/>
      <c r="F2" s="226"/>
      <c r="G2" s="226"/>
      <c r="H2" s="228" t="s">
        <v>308</v>
      </c>
    </row>
    <row r="3" spans="1:9" x14ac:dyDescent="0.2">
      <c r="A3" s="1996" t="s">
        <v>309</v>
      </c>
      <c r="B3" s="1997"/>
      <c r="C3" s="229"/>
      <c r="D3" s="2000" t="s">
        <v>310</v>
      </c>
      <c r="E3" s="2001"/>
      <c r="F3" s="2001"/>
      <c r="G3" s="2002"/>
      <c r="H3" s="2003" t="s">
        <v>1</v>
      </c>
    </row>
    <row r="4" spans="1:9" ht="38.25" x14ac:dyDescent="0.2">
      <c r="A4" s="1998"/>
      <c r="B4" s="1999"/>
      <c r="C4" s="230" t="s">
        <v>633</v>
      </c>
      <c r="D4" s="231" t="s">
        <v>311</v>
      </c>
      <c r="E4" s="231" t="s">
        <v>312</v>
      </c>
      <c r="F4" s="231" t="s">
        <v>313</v>
      </c>
      <c r="G4" s="232" t="s">
        <v>314</v>
      </c>
      <c r="H4" s="2004"/>
    </row>
    <row r="5" spans="1:9" ht="24" x14ac:dyDescent="0.2">
      <c r="A5" s="233" t="s">
        <v>2</v>
      </c>
      <c r="B5" s="245" t="s">
        <v>315</v>
      </c>
      <c r="C5" s="234"/>
      <c r="D5" s="234">
        <v>750000</v>
      </c>
      <c r="E5" s="234">
        <v>750000</v>
      </c>
      <c r="F5" s="234">
        <v>750000</v>
      </c>
      <c r="G5" s="234">
        <f>750000*10</f>
        <v>7500000</v>
      </c>
      <c r="H5" s="235">
        <f>SUM(C5:G5)</f>
        <v>9750000</v>
      </c>
    </row>
    <row r="6" spans="1:9" s="91" customFormat="1" x14ac:dyDescent="0.2">
      <c r="A6" s="239"/>
      <c r="B6" s="151" t="s">
        <v>254</v>
      </c>
      <c r="C6" s="234">
        <v>750000</v>
      </c>
      <c r="D6" s="244"/>
      <c r="E6" s="244"/>
      <c r="F6" s="244"/>
      <c r="G6" s="244"/>
      <c r="H6" s="240">
        <f>SUM(C6:G6)</f>
        <v>750000</v>
      </c>
    </row>
    <row r="7" spans="1:9" s="91" customFormat="1" x14ac:dyDescent="0.2">
      <c r="A7" s="239"/>
      <c r="B7" s="151" t="s">
        <v>255</v>
      </c>
      <c r="C7" s="234">
        <v>750000</v>
      </c>
      <c r="D7" s="244"/>
      <c r="E7" s="244"/>
      <c r="F7" s="244"/>
      <c r="G7" s="244"/>
      <c r="H7" s="240">
        <f t="shared" ref="H7:H8" si="0">SUM(C7:G7)</f>
        <v>750000</v>
      </c>
    </row>
    <row r="8" spans="1:9" s="91" customFormat="1" x14ac:dyDescent="0.2">
      <c r="A8" s="239"/>
      <c r="B8" s="151" t="s">
        <v>256</v>
      </c>
      <c r="C8" s="234">
        <v>750000</v>
      </c>
      <c r="D8" s="244"/>
      <c r="E8" s="244"/>
      <c r="F8" s="244"/>
      <c r="G8" s="244"/>
      <c r="H8" s="240">
        <f t="shared" si="0"/>
        <v>750000</v>
      </c>
    </row>
    <row r="9" spans="1:9" ht="13.5" thickBot="1" x14ac:dyDescent="0.25">
      <c r="A9" s="1983" t="s">
        <v>316</v>
      </c>
      <c r="B9" s="2005"/>
      <c r="C9" s="236"/>
      <c r="D9" s="237">
        <f t="shared" ref="D9:H9" si="1">SUM(D5:D5)</f>
        <v>750000</v>
      </c>
      <c r="E9" s="237">
        <f t="shared" si="1"/>
        <v>750000</v>
      </c>
      <c r="F9" s="237">
        <f t="shared" si="1"/>
        <v>750000</v>
      </c>
      <c r="G9" s="237">
        <f t="shared" si="1"/>
        <v>7500000</v>
      </c>
      <c r="H9" s="238">
        <f t="shared" si="1"/>
        <v>9750000</v>
      </c>
    </row>
    <row r="10" spans="1:9" s="91" customFormat="1" ht="13.5" thickBot="1" x14ac:dyDescent="0.25">
      <c r="A10" s="241"/>
      <c r="B10" s="246" t="s">
        <v>254</v>
      </c>
      <c r="C10" s="242">
        <v>750000</v>
      </c>
      <c r="D10" s="243"/>
      <c r="E10" s="243"/>
      <c r="F10" s="243"/>
      <c r="G10" s="243"/>
      <c r="H10" s="243"/>
    </row>
    <row r="11" spans="1:9" s="91" customFormat="1" ht="13.5" thickBot="1" x14ac:dyDescent="0.25">
      <c r="A11" s="241"/>
      <c r="B11" s="246" t="s">
        <v>255</v>
      </c>
      <c r="C11" s="242">
        <v>750000</v>
      </c>
      <c r="D11" s="243"/>
      <c r="E11" s="243"/>
      <c r="F11" s="243"/>
      <c r="G11" s="243"/>
      <c r="H11" s="243"/>
    </row>
    <row r="12" spans="1:9" s="91" customFormat="1" ht="13.5" thickBot="1" x14ac:dyDescent="0.25">
      <c r="A12" s="241"/>
      <c r="B12" s="246" t="s">
        <v>256</v>
      </c>
      <c r="C12" s="242">
        <v>750000</v>
      </c>
      <c r="D12" s="243"/>
      <c r="E12" s="243"/>
      <c r="F12" s="243"/>
      <c r="G12" s="243"/>
      <c r="H12" s="243"/>
    </row>
    <row r="13" spans="1:9" x14ac:dyDescent="0.2">
      <c r="A13" s="1470" t="s">
        <v>736</v>
      </c>
      <c r="B13" s="225"/>
      <c r="C13" s="225"/>
      <c r="D13" s="1117"/>
      <c r="E13" s="1117"/>
      <c r="F13" s="1117"/>
      <c r="G13" s="1117"/>
      <c r="H13" s="227"/>
      <c r="I13" s="668"/>
    </row>
    <row r="14" spans="1:9" x14ac:dyDescent="0.2">
      <c r="A14" s="1471"/>
      <c r="B14" s="225"/>
      <c r="C14" s="225"/>
      <c r="D14" s="1117"/>
      <c r="E14" s="1117"/>
      <c r="F14" s="1117"/>
      <c r="G14" s="1117"/>
      <c r="H14" s="227"/>
      <c r="I14" s="668"/>
    </row>
    <row r="15" spans="1:9" ht="13.5" thickBot="1" x14ac:dyDescent="0.25">
      <c r="A15" s="1472"/>
      <c r="B15" s="1473"/>
      <c r="C15" s="1473"/>
      <c r="D15" s="1474"/>
      <c r="E15" s="1474"/>
      <c r="F15" s="1474"/>
      <c r="G15" s="1474"/>
      <c r="H15" s="1474"/>
      <c r="I15" s="668"/>
    </row>
    <row r="16" spans="1:9" x14ac:dyDescent="0.2">
      <c r="A16" s="1996" t="s">
        <v>317</v>
      </c>
      <c r="B16" s="1997"/>
      <c r="C16" s="1188"/>
      <c r="D16" s="2000" t="s">
        <v>325</v>
      </c>
      <c r="E16" s="2001"/>
      <c r="F16" s="2001"/>
      <c r="G16" s="2002"/>
      <c r="H16" s="2003" t="s">
        <v>1</v>
      </c>
      <c r="I16" s="668"/>
    </row>
    <row r="17" spans="1:9" ht="38.25" x14ac:dyDescent="0.2">
      <c r="A17" s="1998"/>
      <c r="B17" s="1999"/>
      <c r="C17" s="230" t="s">
        <v>324</v>
      </c>
      <c r="D17" s="231" t="s">
        <v>311</v>
      </c>
      <c r="E17" s="231" t="s">
        <v>312</v>
      </c>
      <c r="F17" s="231" t="s">
        <v>313</v>
      </c>
      <c r="G17" s="232" t="s">
        <v>318</v>
      </c>
      <c r="H17" s="2004"/>
      <c r="I17" s="668"/>
    </row>
    <row r="18" spans="1:9" x14ac:dyDescent="0.2">
      <c r="A18" s="233" t="s">
        <v>2</v>
      </c>
      <c r="B18" s="1475"/>
      <c r="C18" s="1476"/>
      <c r="D18" s="1476"/>
      <c r="E18" s="1477"/>
      <c r="F18" s="1478"/>
      <c r="G18" s="1478"/>
      <c r="H18" s="235">
        <f>SUM(C18:G18)</f>
        <v>0</v>
      </c>
      <c r="I18" s="668"/>
    </row>
    <row r="19" spans="1:9" ht="13.5" thickBot="1" x14ac:dyDescent="0.25">
      <c r="A19" s="1983" t="s">
        <v>316</v>
      </c>
      <c r="B19" s="1984"/>
      <c r="C19" s="1479">
        <f t="shared" ref="C19:H19" si="2">SUM(C18:C18)</f>
        <v>0</v>
      </c>
      <c r="D19" s="237">
        <f t="shared" si="2"/>
        <v>0</v>
      </c>
      <c r="E19" s="237">
        <f t="shared" si="2"/>
        <v>0</v>
      </c>
      <c r="F19" s="237">
        <f t="shared" si="2"/>
        <v>0</v>
      </c>
      <c r="G19" s="237">
        <f t="shared" si="2"/>
        <v>0</v>
      </c>
      <c r="H19" s="1480">
        <f t="shared" si="2"/>
        <v>0</v>
      </c>
      <c r="I19" s="668"/>
    </row>
    <row r="20" spans="1:9" ht="13.5" thickBot="1" x14ac:dyDescent="0.25">
      <c r="A20" s="224"/>
      <c r="B20" s="225"/>
      <c r="C20" s="225"/>
      <c r="D20" s="1117"/>
      <c r="E20" s="1117"/>
      <c r="F20" s="1117"/>
      <c r="G20" s="1117"/>
      <c r="H20" s="1118"/>
      <c r="I20" s="668"/>
    </row>
    <row r="21" spans="1:9" x14ac:dyDescent="0.2">
      <c r="A21" s="1985" t="s">
        <v>319</v>
      </c>
      <c r="B21" s="1986"/>
      <c r="C21" s="229"/>
      <c r="D21" s="1989" t="s">
        <v>310</v>
      </c>
      <c r="E21" s="1989"/>
      <c r="F21" s="1989"/>
      <c r="G21" s="1989"/>
      <c r="H21" s="1990" t="s">
        <v>1</v>
      </c>
      <c r="I21" s="668"/>
    </row>
    <row r="22" spans="1:9" ht="96" x14ac:dyDescent="0.2">
      <c r="A22" s="1987"/>
      <c r="B22" s="1988"/>
      <c r="C22" s="1119" t="s">
        <v>633</v>
      </c>
      <c r="D22" s="1120" t="s">
        <v>311</v>
      </c>
      <c r="E22" s="1120" t="s">
        <v>312</v>
      </c>
      <c r="F22" s="1120" t="s">
        <v>313</v>
      </c>
      <c r="G22" s="1121" t="s">
        <v>320</v>
      </c>
      <c r="H22" s="1991"/>
      <c r="I22" s="668"/>
    </row>
    <row r="23" spans="1:9" x14ac:dyDescent="0.2">
      <c r="A23" s="1992">
        <v>1</v>
      </c>
      <c r="B23" s="1994" t="s">
        <v>321</v>
      </c>
      <c r="C23" s="1122"/>
      <c r="D23" s="1122"/>
      <c r="E23" s="1122"/>
      <c r="F23" s="1122"/>
      <c r="G23" s="1122"/>
      <c r="H23" s="1123">
        <f t="shared" ref="H23:H28" si="3">SUM(C23:G23)</f>
        <v>0</v>
      </c>
      <c r="I23" s="668"/>
    </row>
    <row r="24" spans="1:9" x14ac:dyDescent="0.2">
      <c r="A24" s="1993"/>
      <c r="B24" s="1995"/>
      <c r="C24" s="1122"/>
      <c r="D24" s="1122"/>
      <c r="E24" s="1122"/>
      <c r="F24" s="1122"/>
      <c r="G24" s="1122"/>
      <c r="H24" s="1123">
        <f t="shared" si="3"/>
        <v>0</v>
      </c>
      <c r="I24" s="668"/>
    </row>
    <row r="25" spans="1:9" ht="36" x14ac:dyDescent="0.2">
      <c r="A25" s="1124">
        <v>2</v>
      </c>
      <c r="B25" s="1125" t="s">
        <v>322</v>
      </c>
      <c r="C25" s="1122"/>
      <c r="D25" s="1122"/>
      <c r="E25" s="1122"/>
      <c r="F25" s="1122"/>
      <c r="G25" s="1122"/>
      <c r="H25" s="1123">
        <f t="shared" si="3"/>
        <v>0</v>
      </c>
      <c r="I25" s="668"/>
    </row>
    <row r="26" spans="1:9" x14ac:dyDescent="0.2">
      <c r="A26" s="1981" t="s">
        <v>316</v>
      </c>
      <c r="B26" s="1982"/>
      <c r="C26" s="1126">
        <f>SUM(C23:C25)</f>
        <v>0</v>
      </c>
      <c r="D26" s="1126">
        <f>SUM(D23:D25)</f>
        <v>0</v>
      </c>
      <c r="E26" s="1126">
        <f>SUM(E23:E25)</f>
        <v>0</v>
      </c>
      <c r="F26" s="1126">
        <f>SUM(F23:F25)</f>
        <v>0</v>
      </c>
      <c r="G26" s="1126">
        <f>SUM(G23:G25)</f>
        <v>0</v>
      </c>
      <c r="H26" s="1123">
        <f t="shared" si="3"/>
        <v>0</v>
      </c>
      <c r="I26" s="668"/>
    </row>
    <row r="27" spans="1:9" ht="13.5" thickBot="1" x14ac:dyDescent="0.25">
      <c r="A27" s="1127" t="s">
        <v>3</v>
      </c>
      <c r="B27" s="1128" t="s">
        <v>323</v>
      </c>
      <c r="C27" s="1116">
        <f>'3 bevételek'!H742+'3 bevételek'!H710</f>
        <v>52330749</v>
      </c>
      <c r="D27" s="1116">
        <v>70039792</v>
      </c>
      <c r="E27" s="1116">
        <f>[1]Munka1!$F$16</f>
        <v>50131000</v>
      </c>
      <c r="F27" s="1116">
        <f>[1]Munka1!$G$16</f>
        <v>52813620</v>
      </c>
      <c r="G27" s="1116">
        <f>[1]Munka1!$H$16</f>
        <v>58027892.400000006</v>
      </c>
      <c r="H27" s="1129">
        <f t="shared" si="3"/>
        <v>283343053.39999998</v>
      </c>
      <c r="I27" s="668"/>
    </row>
    <row r="28" spans="1:9" s="91" customFormat="1" ht="13.5" thickBot="1" x14ac:dyDescent="0.25">
      <c r="A28" s="1130"/>
      <c r="B28" s="147" t="s">
        <v>254</v>
      </c>
      <c r="C28" s="1131"/>
      <c r="D28" s="1132"/>
      <c r="E28" s="1132"/>
      <c r="F28" s="1132"/>
      <c r="G28" s="1132"/>
      <c r="H28" s="1133">
        <f t="shared" si="3"/>
        <v>0</v>
      </c>
      <c r="I28" s="668"/>
    </row>
    <row r="29" spans="1:9" s="91" customFormat="1" ht="13.5" thickBot="1" x14ac:dyDescent="0.25">
      <c r="A29" s="1130"/>
      <c r="B29" s="147" t="s">
        <v>255</v>
      </c>
      <c r="C29" s="1131"/>
      <c r="D29" s="1132"/>
      <c r="E29" s="1132"/>
      <c r="F29" s="1132"/>
      <c r="G29" s="1132"/>
      <c r="H29" s="1133">
        <f t="shared" ref="H29:H30" si="4">SUM(C29:G29)</f>
        <v>0</v>
      </c>
      <c r="I29" s="668"/>
    </row>
    <row r="30" spans="1:9" s="91" customFormat="1" ht="13.5" thickBot="1" x14ac:dyDescent="0.25">
      <c r="A30" s="1130"/>
      <c r="B30" s="147" t="s">
        <v>256</v>
      </c>
      <c r="C30" s="1131"/>
      <c r="D30" s="1132"/>
      <c r="E30" s="1132"/>
      <c r="F30" s="1132"/>
      <c r="G30" s="1132"/>
      <c r="H30" s="1133">
        <f t="shared" si="4"/>
        <v>0</v>
      </c>
      <c r="I30" s="668"/>
    </row>
  </sheetData>
  <mergeCells count="14">
    <mergeCell ref="A3:B4"/>
    <mergeCell ref="D3:G3"/>
    <mergeCell ref="H3:H4"/>
    <mergeCell ref="A9:B9"/>
    <mergeCell ref="A16:B17"/>
    <mergeCell ref="D16:G16"/>
    <mergeCell ref="H16:H17"/>
    <mergeCell ref="A26:B26"/>
    <mergeCell ref="A19:B19"/>
    <mergeCell ref="A21:B22"/>
    <mergeCell ref="D21:G21"/>
    <mergeCell ref="H21:H22"/>
    <mergeCell ref="A23:A24"/>
    <mergeCell ref="B23:B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9</vt:i4>
      </vt:variant>
    </vt:vector>
  </HeadingPairs>
  <TitlesOfParts>
    <vt:vector size="27" baseType="lpstr">
      <vt:lpstr>1. pénzkészlet</vt:lpstr>
      <vt:lpstr>2 mérleg</vt:lpstr>
      <vt:lpstr>3 bevételek</vt:lpstr>
      <vt:lpstr>4 int-i bevételek </vt:lpstr>
      <vt:lpstr>5 kiadások</vt:lpstr>
      <vt:lpstr>6 beruházások</vt:lpstr>
      <vt:lpstr>7. céltartalék</vt:lpstr>
      <vt:lpstr>8. EU</vt:lpstr>
      <vt:lpstr>9. többéves</vt:lpstr>
      <vt:lpstr>10. fejl</vt:lpstr>
      <vt:lpstr>11. maradvány</vt:lpstr>
      <vt:lpstr>12A vagyon17</vt:lpstr>
      <vt:lpstr>12Bvagyon18</vt:lpstr>
      <vt:lpstr>12C</vt:lpstr>
      <vt:lpstr>13. ered.kim.</vt:lpstr>
      <vt:lpstr>1. kimutatás</vt:lpstr>
      <vt:lpstr>2. kimutatás</vt:lpstr>
      <vt:lpstr>3. kimutatás</vt:lpstr>
      <vt:lpstr>'3 bevételek'!Nyomtatási_cím</vt:lpstr>
      <vt:lpstr>'4 int-i bevételek '!Nyomtatási_cím</vt:lpstr>
      <vt:lpstr>'5 kiadások'!Nyomtatási_cím</vt:lpstr>
      <vt:lpstr>'6 beruházások'!Nyomtatási_cím</vt:lpstr>
      <vt:lpstr>'1. pénzkészlet'!Nyomtatási_terület</vt:lpstr>
      <vt:lpstr>'2 mérleg'!Nyomtatási_terület</vt:lpstr>
      <vt:lpstr>'3 bevételek'!Nyomtatási_terület</vt:lpstr>
      <vt:lpstr>'4 int-i bevételek '!Nyomtatási_terület</vt:lpstr>
      <vt:lpstr>'5 kiadások'!Nyomtatási_terület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Boldoczki</dc:creator>
  <cp:lastModifiedBy>lenovo</cp:lastModifiedBy>
  <cp:lastPrinted>2019-05-23T13:53:54Z</cp:lastPrinted>
  <dcterms:created xsi:type="dcterms:W3CDTF">2006-02-08T00:02:41Z</dcterms:created>
  <dcterms:modified xsi:type="dcterms:W3CDTF">2019-05-24T11:31:09Z</dcterms:modified>
</cp:coreProperties>
</file>