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sengőd Zsuzsától\Csengőd\Képviselő-testületi ülés\2019-09-24\"/>
    </mc:Choice>
  </mc:AlternateContent>
  <bookViews>
    <workbookView xWindow="-120" yWindow="-120" windowWidth="29040" windowHeight="15840" tabRatio="932"/>
  </bookViews>
  <sheets>
    <sheet name="1 ei felhaszn" sheetId="17" r:id="rId1"/>
    <sheet name="2 mérleg" sheetId="2" r:id="rId2"/>
    <sheet name="3 bevételek" sheetId="50" r:id="rId3"/>
    <sheet name="4 int-i bevételek " sheetId="32" r:id="rId4"/>
    <sheet name="5 kiadások" sheetId="30" r:id="rId5"/>
    <sheet name="6 beruházások" sheetId="52" r:id="rId6"/>
    <sheet name="7 Céltartalék" sheetId="53" r:id="rId7"/>
    <sheet name="8 EU-s projektek" sheetId="54" r:id="rId8"/>
    <sheet name="9 Többéves kihatással járó dönt" sheetId="55" r:id="rId9"/>
  </sheets>
  <externalReferences>
    <externalReference r:id="rId10"/>
  </externalReferences>
  <definedNames>
    <definedName name="_xlnm.Print_Titles" localSheetId="2">'3 bevételek'!$4:$5</definedName>
    <definedName name="_xlnm.Print_Titles" localSheetId="3">'4 int-i bevételek '!$5:$8</definedName>
    <definedName name="_xlnm.Print_Titles" localSheetId="4">'5 kiadások'!$5:$7</definedName>
    <definedName name="_xlnm.Print_Titles" localSheetId="5">'6 beruházások'!$4:$5</definedName>
    <definedName name="_xlnm.Print_Area" localSheetId="0">'1 ei felhaszn'!$A$1:$O$31</definedName>
    <definedName name="_xlnm.Print_Area" localSheetId="1">'2 mérleg'!$A$1:$E$60</definedName>
    <definedName name="_xlnm.Print_Area" localSheetId="2">'3 bevételek'!$A$1:$H$275</definedName>
    <definedName name="_xlnm.Print_Area" localSheetId="3">'4 int-i bevételek '!$A$1:$N$18</definedName>
    <definedName name="_xlnm.Print_Area" localSheetId="4">'5 kiadások'!$A$1:$R$102</definedName>
    <definedName name="_xlnm.Print_Area" localSheetId="5">'6 beruházások'!$A$1:$D$75</definedName>
    <definedName name="_xlnm.Print_Area" localSheetId="7">'8 EU-s projektek'!$A$1:$I$15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5" i="2" l="1"/>
  <c r="K24" i="17" l="1"/>
  <c r="L23" i="17"/>
  <c r="L22" i="17"/>
  <c r="E13" i="30"/>
  <c r="K7" i="17"/>
  <c r="H13" i="50"/>
  <c r="F13" i="50"/>
  <c r="G13" i="30"/>
  <c r="F13" i="30"/>
  <c r="L13" i="30" l="1"/>
  <c r="D13" i="54"/>
  <c r="F253" i="50"/>
  <c r="F257" i="50" s="1"/>
  <c r="H257" i="50" s="1"/>
  <c r="F250" i="50"/>
  <c r="F251" i="50"/>
  <c r="G253" i="50"/>
  <c r="G251" i="50"/>
  <c r="G255" i="50"/>
  <c r="M26" i="17"/>
  <c r="N26" i="17"/>
  <c r="N24" i="17"/>
  <c r="C8" i="55" l="1"/>
  <c r="D38" i="52"/>
  <c r="D39" i="52"/>
  <c r="E94" i="30"/>
  <c r="F31" i="30"/>
  <c r="F17" i="30"/>
  <c r="J17" i="32"/>
  <c r="K13" i="32"/>
  <c r="N7" i="17"/>
  <c r="F7" i="17"/>
  <c r="G244" i="50"/>
  <c r="F244" i="50"/>
  <c r="F243" i="50"/>
  <c r="F152" i="50"/>
  <c r="F90" i="50"/>
  <c r="H48" i="50"/>
  <c r="F22" i="30"/>
  <c r="F18" i="30"/>
  <c r="G20" i="30"/>
  <c r="G17" i="30" s="1"/>
  <c r="E17" i="30"/>
  <c r="G23" i="30"/>
  <c r="F23" i="30"/>
  <c r="N8" i="17" l="1"/>
  <c r="J22" i="17"/>
  <c r="J23" i="17"/>
  <c r="I23" i="17"/>
  <c r="G27" i="17"/>
  <c r="M51" i="30"/>
  <c r="D28" i="52"/>
  <c r="D27" i="52" s="1"/>
  <c r="D11" i="52" l="1"/>
  <c r="H145" i="50" l="1"/>
  <c r="L13" i="32"/>
  <c r="F183" i="50"/>
  <c r="H186" i="50"/>
  <c r="G30" i="17"/>
  <c r="N30" i="17"/>
  <c r="N28" i="17"/>
  <c r="N23" i="17"/>
  <c r="L27" i="17"/>
  <c r="I26" i="17"/>
  <c r="J26" i="17"/>
  <c r="H25" i="17"/>
  <c r="N25" i="17"/>
  <c r="N22" i="17"/>
  <c r="N15" i="17"/>
  <c r="G15" i="17"/>
  <c r="N10" i="17"/>
  <c r="F195" i="50"/>
  <c r="F196" i="50"/>
  <c r="G213" i="50"/>
  <c r="F213" i="50" s="1"/>
  <c r="G75" i="30"/>
  <c r="Q60" i="30"/>
  <c r="D16" i="52"/>
  <c r="G200" i="50" l="1"/>
  <c r="F200" i="50"/>
  <c r="H202" i="50"/>
  <c r="D10" i="32" l="1"/>
  <c r="G136" i="50"/>
  <c r="G139" i="50"/>
  <c r="F136" i="50"/>
  <c r="F139" i="50"/>
  <c r="F144" i="50"/>
  <c r="G11" i="30"/>
  <c r="E11" i="30"/>
  <c r="Q13" i="30"/>
  <c r="F21" i="30"/>
  <c r="E21" i="30"/>
  <c r="D24" i="52"/>
  <c r="D23" i="52" s="1"/>
  <c r="G90" i="30"/>
  <c r="G89" i="30" l="1"/>
  <c r="L89" i="30" s="1"/>
  <c r="G50" i="30"/>
  <c r="M50" i="30"/>
  <c r="D18" i="52"/>
  <c r="D17" i="52" s="1"/>
  <c r="G48" i="30"/>
  <c r="D30" i="52"/>
  <c r="D29" i="52" s="1"/>
  <c r="L75" i="30" l="1"/>
  <c r="Q75" i="30" s="1"/>
  <c r="G69" i="30"/>
  <c r="F69" i="30"/>
  <c r="D51" i="52"/>
  <c r="D42" i="52"/>
  <c r="L62" i="30"/>
  <c r="Q62" i="30" s="1"/>
  <c r="G61" i="30"/>
  <c r="Q59" i="30"/>
  <c r="D57" i="52"/>
  <c r="J45" i="30"/>
  <c r="G41" i="30" l="1"/>
  <c r="F157" i="50" l="1"/>
  <c r="F177" i="50"/>
  <c r="H167" i="50"/>
  <c r="R94" i="30" l="1"/>
  <c r="D24" i="55" l="1"/>
  <c r="E24" i="55"/>
  <c r="F24" i="55"/>
  <c r="G24" i="55" s="1"/>
  <c r="F9" i="55"/>
  <c r="G9" i="55"/>
  <c r="J15" i="32" l="1"/>
  <c r="J10" i="32"/>
  <c r="J9" i="32"/>
  <c r="R55" i="30" l="1"/>
  <c r="R71" i="30"/>
  <c r="G38" i="30"/>
  <c r="G35" i="30" s="1"/>
  <c r="D24" i="17"/>
  <c r="E24" i="17"/>
  <c r="F24" i="17"/>
  <c r="G24" i="17"/>
  <c r="H24" i="17"/>
  <c r="I24" i="17"/>
  <c r="J24" i="17"/>
  <c r="C24" i="17"/>
  <c r="M24" i="17"/>
  <c r="L24" i="17"/>
  <c r="D45" i="52"/>
  <c r="M64" i="30"/>
  <c r="E46" i="30" l="1"/>
  <c r="F8" i="17" l="1"/>
  <c r="E8" i="17"/>
  <c r="I15" i="54" l="1"/>
  <c r="I14" i="54" l="1"/>
  <c r="A10" i="54"/>
  <c r="F30" i="17"/>
  <c r="H30" i="17"/>
  <c r="I30" i="17"/>
  <c r="J30" i="17"/>
  <c r="K30" i="17"/>
  <c r="L30" i="17"/>
  <c r="M30" i="17"/>
  <c r="E30" i="17"/>
  <c r="D26" i="17"/>
  <c r="E26" i="17"/>
  <c r="F26" i="17"/>
  <c r="G26" i="17"/>
  <c r="H26" i="17"/>
  <c r="K26" i="17"/>
  <c r="L26" i="17"/>
  <c r="C26" i="17"/>
  <c r="E25" i="17"/>
  <c r="F25" i="17"/>
  <c r="G25" i="17"/>
  <c r="I25" i="17"/>
  <c r="D25" i="17"/>
  <c r="J25" i="17"/>
  <c r="I22" i="17"/>
  <c r="M7" i="17"/>
  <c r="E7" i="17"/>
  <c r="G7" i="17"/>
  <c r="H7" i="17"/>
  <c r="I7" i="17"/>
  <c r="J7" i="17"/>
  <c r="L7" i="17"/>
  <c r="D7" i="17"/>
  <c r="F79" i="50"/>
  <c r="D23" i="17" l="1"/>
  <c r="E23" i="17"/>
  <c r="F23" i="17"/>
  <c r="G23" i="17"/>
  <c r="H23" i="17"/>
  <c r="K23" i="17"/>
  <c r="M23" i="17"/>
  <c r="C23" i="17"/>
  <c r="D22" i="17"/>
  <c r="E22" i="17"/>
  <c r="F22" i="17"/>
  <c r="G22" i="17"/>
  <c r="H22" i="17"/>
  <c r="K22" i="17"/>
  <c r="M22" i="17"/>
  <c r="C22" i="17"/>
  <c r="L11" i="17"/>
  <c r="K11" i="17"/>
  <c r="I11" i="17"/>
  <c r="E11" i="17"/>
  <c r="E10" i="17"/>
  <c r="C36" i="2"/>
  <c r="G240" i="50"/>
  <c r="E85" i="30" l="1"/>
  <c r="M35" i="30"/>
  <c r="G51" i="30"/>
  <c r="M34" i="30" l="1"/>
  <c r="D26" i="52"/>
  <c r="D25" i="52" s="1"/>
  <c r="D15" i="52"/>
  <c r="D14" i="52" s="1"/>
  <c r="B86" i="30"/>
  <c r="B87" i="30" s="1"/>
  <c r="B88" i="30" s="1"/>
  <c r="B89" i="30" s="1"/>
  <c r="B90" i="30" s="1"/>
  <c r="B47" i="30"/>
  <c r="B48" i="30" s="1"/>
  <c r="B49" i="30" s="1"/>
  <c r="B50" i="30" s="1"/>
  <c r="B51" i="30" s="1"/>
  <c r="B52" i="30" s="1"/>
  <c r="B53" i="30" s="1"/>
  <c r="B54" i="30" s="1"/>
  <c r="B55" i="30" s="1"/>
  <c r="G47" i="30"/>
  <c r="H55" i="30"/>
  <c r="I55" i="30"/>
  <c r="J55" i="30"/>
  <c r="F85" i="30"/>
  <c r="E66" i="30" l="1"/>
  <c r="N72" i="30"/>
  <c r="N94" i="30" s="1"/>
  <c r="N102" i="30" s="1"/>
  <c r="O72" i="30"/>
  <c r="O94" i="30" s="1"/>
  <c r="O102" i="30" s="1"/>
  <c r="P72" i="30"/>
  <c r="P94" i="30" s="1"/>
  <c r="P102" i="30" s="1"/>
  <c r="N71" i="30"/>
  <c r="O71" i="30"/>
  <c r="P71" i="30"/>
  <c r="M72" i="30"/>
  <c r="M94" i="30" s="1"/>
  <c r="F72" i="30"/>
  <c r="H72" i="30"/>
  <c r="H94" i="30" s="1"/>
  <c r="I72" i="30"/>
  <c r="I94" i="30" s="1"/>
  <c r="J72" i="30"/>
  <c r="J94" i="30" s="1"/>
  <c r="K72" i="30"/>
  <c r="K94" i="30" s="1"/>
  <c r="H71" i="30"/>
  <c r="J71" i="30"/>
  <c r="K71" i="30"/>
  <c r="E72" i="30"/>
  <c r="G74" i="30"/>
  <c r="G73" i="30"/>
  <c r="G72" i="30" s="1"/>
  <c r="L76" i="30"/>
  <c r="Q76" i="30" s="1"/>
  <c r="G65" i="30"/>
  <c r="E65" i="30"/>
  <c r="Q56" i="30"/>
  <c r="L56" i="30"/>
  <c r="F198" i="50"/>
  <c r="F192" i="50" s="1"/>
  <c r="E54" i="30"/>
  <c r="L52" i="30"/>
  <c r="Q52" i="30" s="1"/>
  <c r="M69" i="30"/>
  <c r="G203" i="50"/>
  <c r="F203" i="50"/>
  <c r="H205" i="50"/>
  <c r="H13" i="54" s="1"/>
  <c r="H70" i="30" l="1"/>
  <c r="G243" i="50"/>
  <c r="D36" i="2"/>
  <c r="J70" i="30"/>
  <c r="P70" i="30"/>
  <c r="G94" i="30"/>
  <c r="H244" i="50"/>
  <c r="K70" i="30"/>
  <c r="L74" i="30"/>
  <c r="Q74" i="30" s="1"/>
  <c r="O70" i="30"/>
  <c r="N70" i="30"/>
  <c r="C15" i="17" l="1"/>
  <c r="E36" i="2"/>
  <c r="D61" i="52"/>
  <c r="F229" i="50" l="1"/>
  <c r="F228" i="50"/>
  <c r="D60" i="52" l="1"/>
  <c r="K40" i="30"/>
  <c r="F63" i="30" l="1"/>
  <c r="F55" i="30" s="1"/>
  <c r="F92" i="50" l="1"/>
  <c r="D14" i="32" s="1"/>
  <c r="G21" i="30"/>
  <c r="G84" i="30"/>
  <c r="G18" i="30" l="1"/>
  <c r="G16" i="30" s="1"/>
  <c r="G19" i="30"/>
  <c r="F91" i="50"/>
  <c r="D13" i="32" s="1"/>
  <c r="F24" i="30"/>
  <c r="F20" i="30"/>
  <c r="F38" i="30" l="1"/>
  <c r="D13" i="52"/>
  <c r="D12" i="52" s="1"/>
  <c r="F46" i="30"/>
  <c r="E81" i="30"/>
  <c r="E71" i="30" s="1"/>
  <c r="E70" i="30" s="1"/>
  <c r="F81" i="30" l="1"/>
  <c r="F71" i="30" s="1"/>
  <c r="F70" i="30" s="1"/>
  <c r="M81" i="30"/>
  <c r="G82" i="30"/>
  <c r="G71" i="30" s="1"/>
  <c r="G70" i="30" s="1"/>
  <c r="D20" i="52" l="1"/>
  <c r="D19" i="52" s="1"/>
  <c r="M71" i="30"/>
  <c r="D58" i="52"/>
  <c r="F83" i="30"/>
  <c r="G83" i="30"/>
  <c r="E83" i="30"/>
  <c r="R83" i="30"/>
  <c r="D59" i="52" l="1"/>
  <c r="J43" i="30"/>
  <c r="G64" i="30"/>
  <c r="M58" i="30"/>
  <c r="D56" i="52" s="1"/>
  <c r="L58" i="30"/>
  <c r="D22" i="52"/>
  <c r="D21" i="52" s="1"/>
  <c r="D55" i="52" l="1"/>
  <c r="D53" i="52"/>
  <c r="G55" i="30"/>
  <c r="Q58" i="30"/>
  <c r="L57" i="30"/>
  <c r="Q57" i="30" s="1"/>
  <c r="G111" i="50" l="1"/>
  <c r="F111" i="50"/>
  <c r="G87" i="50"/>
  <c r="F87" i="50"/>
  <c r="G39" i="50"/>
  <c r="F39" i="50"/>
  <c r="N30" i="30"/>
  <c r="N29" i="30"/>
  <c r="G31" i="30"/>
  <c r="G102" i="30" s="1"/>
  <c r="H18" i="30"/>
  <c r="H31" i="30" s="1"/>
  <c r="H102" i="30" s="1"/>
  <c r="I18" i="30"/>
  <c r="J18" i="30"/>
  <c r="K18" i="30"/>
  <c r="H17" i="30"/>
  <c r="I17" i="30"/>
  <c r="J17" i="30"/>
  <c r="K17" i="30"/>
  <c r="E26" i="30"/>
  <c r="F26" i="30" s="1"/>
  <c r="G23" i="55" l="1"/>
  <c r="F23" i="55"/>
  <c r="E23" i="55"/>
  <c r="D23" i="55"/>
  <c r="C23" i="55"/>
  <c r="H22" i="55"/>
  <c r="H21" i="55"/>
  <c r="G17" i="55"/>
  <c r="F17" i="55"/>
  <c r="E17" i="55"/>
  <c r="D17" i="55"/>
  <c r="C17" i="55"/>
  <c r="H16" i="55"/>
  <c r="H17" i="55" s="1"/>
  <c r="H7" i="55"/>
  <c r="I11" i="54"/>
  <c r="I10" i="54"/>
  <c r="I9" i="54"/>
  <c r="A11" i="54"/>
  <c r="A12" i="54" s="1"/>
  <c r="A13" i="54" s="1"/>
  <c r="A14" i="54" s="1"/>
  <c r="A15" i="54" s="1"/>
  <c r="H23" i="55" l="1"/>
  <c r="R9" i="30" l="1"/>
  <c r="N9" i="30"/>
  <c r="O9" i="30"/>
  <c r="P9" i="30"/>
  <c r="M9" i="30"/>
  <c r="F11" i="30"/>
  <c r="F9" i="30" l="1"/>
  <c r="F29" i="30" s="1"/>
  <c r="F100" i="30" s="1"/>
  <c r="G9" i="30"/>
  <c r="G29" i="30" s="1"/>
  <c r="H9" i="30"/>
  <c r="H29" i="30" s="1"/>
  <c r="I9" i="30"/>
  <c r="J9" i="30"/>
  <c r="K9" i="30"/>
  <c r="E9" i="30"/>
  <c r="F50" i="50" l="1"/>
  <c r="F49" i="50"/>
  <c r="H58" i="50"/>
  <c r="H59" i="50"/>
  <c r="G57" i="50"/>
  <c r="F57" i="50"/>
  <c r="G54" i="50"/>
  <c r="F54" i="50"/>
  <c r="G51" i="50"/>
  <c r="F51" i="50"/>
  <c r="H56" i="50"/>
  <c r="H55" i="50"/>
  <c r="H53" i="50"/>
  <c r="H52" i="50"/>
  <c r="G50" i="50"/>
  <c r="G49" i="50"/>
  <c r="F169" i="50"/>
  <c r="F174" i="50"/>
  <c r="F170" i="50"/>
  <c r="H57" i="50" l="1"/>
  <c r="F48" i="50"/>
  <c r="H54" i="50"/>
  <c r="H49" i="50"/>
  <c r="H51" i="50"/>
  <c r="H50" i="50"/>
  <c r="G48" i="50"/>
  <c r="C37" i="2" l="1"/>
  <c r="D48" i="52" l="1"/>
  <c r="M66" i="30" s="1"/>
  <c r="K66" i="30" l="1"/>
  <c r="L66" i="30" s="1"/>
  <c r="Q66" i="30" s="1"/>
  <c r="H204" i="50"/>
  <c r="H201" i="50"/>
  <c r="B194" i="50"/>
  <c r="B195" i="50" s="1"/>
  <c r="B196" i="50" s="1"/>
  <c r="B197" i="50" s="1"/>
  <c r="B198" i="50" s="1"/>
  <c r="C9" i="55" l="1"/>
  <c r="K55" i="30"/>
  <c r="E8" i="55"/>
  <c r="E9" i="55" s="1"/>
  <c r="D8" i="55"/>
  <c r="D9" i="55" s="1"/>
  <c r="H12" i="54"/>
  <c r="I12" i="54" s="1"/>
  <c r="I13" i="54"/>
  <c r="H200" i="50"/>
  <c r="H8" i="55" l="1"/>
  <c r="H9" i="55" s="1"/>
  <c r="H185" i="50"/>
  <c r="H197" i="50"/>
  <c r="F86" i="30" l="1"/>
  <c r="L86" i="30" l="1"/>
  <c r="Q86" i="30" s="1"/>
  <c r="E22" i="30"/>
  <c r="E18" i="30" l="1"/>
  <c r="E19" i="30"/>
  <c r="E16" i="30" l="1"/>
  <c r="L10" i="32" l="1"/>
  <c r="L9" i="32" s="1"/>
  <c r="L15" i="32" l="1"/>
  <c r="F12" i="50"/>
  <c r="G10" i="50"/>
  <c r="F10" i="50"/>
  <c r="G9" i="50"/>
  <c r="G18" i="50"/>
  <c r="F18" i="50"/>
  <c r="G15" i="50"/>
  <c r="F15" i="50"/>
  <c r="G12" i="50"/>
  <c r="L12" i="30"/>
  <c r="Q12" i="30" s="1"/>
  <c r="F9" i="50" l="1"/>
  <c r="G8" i="50"/>
  <c r="H10" i="50"/>
  <c r="F10" i="32"/>
  <c r="L17" i="32"/>
  <c r="H18" i="50"/>
  <c r="H12" i="50"/>
  <c r="H15" i="50"/>
  <c r="H11" i="50"/>
  <c r="H9" i="50" l="1"/>
  <c r="F151" i="50"/>
  <c r="F9" i="32"/>
  <c r="F8" i="50"/>
  <c r="H8" i="50" s="1"/>
  <c r="C13" i="2" s="1"/>
  <c r="C20" i="2" s="1"/>
  <c r="E20" i="2" s="1"/>
  <c r="O7" i="17" s="1"/>
  <c r="F255" i="50" l="1"/>
  <c r="H255" i="50" s="1"/>
  <c r="F150" i="50"/>
  <c r="F254" i="50" s="1"/>
  <c r="R31" i="30"/>
  <c r="R102" i="30" s="1"/>
  <c r="L67" i="30" l="1"/>
  <c r="L68" i="30"/>
  <c r="L69" i="30"/>
  <c r="G22" i="30" l="1"/>
  <c r="M17" i="30"/>
  <c r="M29" i="30" s="1"/>
  <c r="M18" i="30"/>
  <c r="M19" i="30"/>
  <c r="M22" i="30"/>
  <c r="R17" i="30" l="1"/>
  <c r="R18" i="30"/>
  <c r="R16" i="30" l="1"/>
  <c r="G199" i="50" l="1"/>
  <c r="F16" i="30" l="1"/>
  <c r="F19" i="30"/>
  <c r="L20" i="30" l="1"/>
  <c r="Q20" i="30" s="1"/>
  <c r="L21" i="30"/>
  <c r="Q21" i="30" s="1"/>
  <c r="L23" i="30"/>
  <c r="Q23" i="30" s="1"/>
  <c r="L24" i="30"/>
  <c r="Q24" i="30" s="1"/>
  <c r="H19" i="30"/>
  <c r="I19" i="30"/>
  <c r="J19" i="30"/>
  <c r="K19" i="30"/>
  <c r="H22" i="30"/>
  <c r="I22" i="30"/>
  <c r="J22" i="30"/>
  <c r="K22" i="30"/>
  <c r="L22" i="30" l="1"/>
  <c r="Q22" i="30" s="1"/>
  <c r="L19" i="30"/>
  <c r="Q19" i="30" s="1"/>
  <c r="R8" i="30" l="1"/>
  <c r="R29" i="30"/>
  <c r="M68" i="30"/>
  <c r="Q68" i="30" s="1"/>
  <c r="M67" i="30"/>
  <c r="Q67" i="30" s="1"/>
  <c r="F54" i="30"/>
  <c r="F94" i="30" s="1"/>
  <c r="E64" i="30"/>
  <c r="E55" i="30" s="1"/>
  <c r="I82" i="30"/>
  <c r="I71" i="30" s="1"/>
  <c r="I70" i="30" s="1"/>
  <c r="L94" i="30" l="1"/>
  <c r="F102" i="30"/>
  <c r="L64" i="30"/>
  <c r="Q94" i="30" l="1"/>
  <c r="Q64" i="30"/>
  <c r="J41" i="30" l="1"/>
  <c r="J35" i="30" s="1"/>
  <c r="G49" i="30"/>
  <c r="H219" i="50" l="1"/>
  <c r="H83" i="30"/>
  <c r="I83" i="30"/>
  <c r="J83" i="30"/>
  <c r="J92" i="30" s="1"/>
  <c r="K83" i="30"/>
  <c r="L83" i="30" l="1"/>
  <c r="H203" i="50"/>
  <c r="F199" i="50"/>
  <c r="H192" i="50"/>
  <c r="F218" i="50"/>
  <c r="D18" i="32"/>
  <c r="F78" i="50"/>
  <c r="H79" i="50"/>
  <c r="L17" i="30"/>
  <c r="H16" i="30"/>
  <c r="I16" i="30"/>
  <c r="J16" i="30"/>
  <c r="K16" i="30"/>
  <c r="L18" i="30"/>
  <c r="Q18" i="30" s="1"/>
  <c r="H78" i="50" l="1"/>
  <c r="F117" i="50" l="1"/>
  <c r="M83" i="30" l="1"/>
  <c r="H225" i="50" l="1"/>
  <c r="D23" i="2"/>
  <c r="D46" i="52" l="1"/>
  <c r="L97" i="30"/>
  <c r="Q97" i="30" s="1"/>
  <c r="M65" i="30" l="1"/>
  <c r="H166" i="50"/>
  <c r="H217" i="50"/>
  <c r="C38" i="2"/>
  <c r="C35" i="2" s="1"/>
  <c r="F271" i="50"/>
  <c r="C58" i="2" s="1"/>
  <c r="M55" i="30" l="1"/>
  <c r="M92" i="30" s="1"/>
  <c r="M100" i="30" s="1"/>
  <c r="G212" i="50"/>
  <c r="G206" i="50" s="1"/>
  <c r="M31" i="30" l="1"/>
  <c r="M102" i="30" s="1"/>
  <c r="H243" i="50" l="1"/>
  <c r="M8" i="30" l="1"/>
  <c r="D34" i="52" s="1"/>
  <c r="D33" i="52" s="1"/>
  <c r="L96" i="30"/>
  <c r="Q96" i="30" s="1"/>
  <c r="Q89" i="30" l="1"/>
  <c r="H241" i="50" l="1"/>
  <c r="H43" i="50" l="1"/>
  <c r="P8" i="30" l="1"/>
  <c r="O8" i="30"/>
  <c r="E37" i="2"/>
  <c r="L87" i="30"/>
  <c r="Q87" i="30" s="1"/>
  <c r="C31" i="17" l="1"/>
  <c r="H252" i="50"/>
  <c r="G10" i="32"/>
  <c r="E18" i="32"/>
  <c r="F18" i="32"/>
  <c r="G18" i="32"/>
  <c r="H18" i="32"/>
  <c r="I18" i="32"/>
  <c r="E17" i="32"/>
  <c r="F17" i="32"/>
  <c r="H17" i="32"/>
  <c r="I17" i="32"/>
  <c r="G180" i="50"/>
  <c r="H182" i="50"/>
  <c r="H127" i="50"/>
  <c r="H128" i="50"/>
  <c r="H129" i="50"/>
  <c r="H130" i="50"/>
  <c r="H131" i="50"/>
  <c r="H132" i="50"/>
  <c r="H133" i="50"/>
  <c r="H134" i="50"/>
  <c r="F86" i="50"/>
  <c r="G38" i="50"/>
  <c r="F37" i="50"/>
  <c r="G26" i="50"/>
  <c r="G25" i="50"/>
  <c r="F25" i="50"/>
  <c r="F30" i="50"/>
  <c r="G17" i="32" l="1"/>
  <c r="G24" i="50"/>
  <c r="D9" i="32"/>
  <c r="R28" i="30"/>
  <c r="E31" i="30"/>
  <c r="E102" i="30" s="1"/>
  <c r="F180" i="50"/>
  <c r="H180" i="50" s="1"/>
  <c r="N8" i="30"/>
  <c r="I8" i="30" l="1"/>
  <c r="J8" i="30"/>
  <c r="K8" i="30"/>
  <c r="E8" i="30"/>
  <c r="F8" i="30"/>
  <c r="Q30" i="30" l="1"/>
  <c r="G126" i="50"/>
  <c r="G9" i="32" s="1"/>
  <c r="F126" i="50"/>
  <c r="F41" i="30"/>
  <c r="H41" i="30"/>
  <c r="H35" i="30" s="1"/>
  <c r="H92" i="30" s="1"/>
  <c r="J34" i="30"/>
  <c r="K35" i="30"/>
  <c r="K92" i="30" s="1"/>
  <c r="E41" i="30"/>
  <c r="L93" i="30"/>
  <c r="L36" i="30"/>
  <c r="L45" i="30"/>
  <c r="Q45" i="30" s="1"/>
  <c r="L51" i="30"/>
  <c r="L50" i="30"/>
  <c r="Q50" i="30" s="1"/>
  <c r="H100" i="30" l="1"/>
  <c r="H99" i="30" s="1"/>
  <c r="K34" i="30"/>
  <c r="H34" i="30"/>
  <c r="N28" i="30"/>
  <c r="J13" i="32"/>
  <c r="H126" i="50"/>
  <c r="J14" i="32"/>
  <c r="O16" i="30"/>
  <c r="P16" i="30"/>
  <c r="N16" i="30"/>
  <c r="M16" i="30"/>
  <c r="D32" i="52" s="1"/>
  <c r="D31" i="52" s="1"/>
  <c r="J12" i="32" l="1"/>
  <c r="M28" i="30"/>
  <c r="L46" i="30"/>
  <c r="Q46" i="30" s="1"/>
  <c r="E15" i="2"/>
  <c r="E18" i="2"/>
  <c r="E19" i="2"/>
  <c r="N34" i="30"/>
  <c r="N91" i="30" s="1"/>
  <c r="N98" i="30" s="1"/>
  <c r="O34" i="30"/>
  <c r="P34" i="30"/>
  <c r="P91" i="30" s="1"/>
  <c r="P98" i="30" s="1"/>
  <c r="D10" i="52"/>
  <c r="D9" i="52" s="1"/>
  <c r="G137" i="50"/>
  <c r="F137" i="50"/>
  <c r="G125" i="50"/>
  <c r="G122" i="50" s="1"/>
  <c r="G124" i="50"/>
  <c r="F125" i="50"/>
  <c r="F124" i="50"/>
  <c r="G147" i="50"/>
  <c r="F147" i="50"/>
  <c r="H147" i="50" s="1"/>
  <c r="H144" i="50"/>
  <c r="G141" i="50"/>
  <c r="F141" i="50"/>
  <c r="H141" i="50" s="1"/>
  <c r="G140" i="50"/>
  <c r="F140" i="50"/>
  <c r="H140" i="50" s="1"/>
  <c r="H139" i="50"/>
  <c r="G110" i="50"/>
  <c r="G109" i="50"/>
  <c r="F110" i="50"/>
  <c r="H110" i="50" s="1"/>
  <c r="F109" i="50"/>
  <c r="H109" i="50" s="1"/>
  <c r="F85" i="50"/>
  <c r="F84" i="50" s="1"/>
  <c r="F74" i="50"/>
  <c r="H74" i="50" s="1"/>
  <c r="H76" i="50"/>
  <c r="H77" i="50"/>
  <c r="H82" i="50"/>
  <c r="H83" i="50"/>
  <c r="G81" i="50"/>
  <c r="H81" i="50"/>
  <c r="G69" i="50"/>
  <c r="G66" i="50"/>
  <c r="H64" i="50"/>
  <c r="H65" i="50"/>
  <c r="H67" i="50"/>
  <c r="H68" i="50"/>
  <c r="H70" i="50"/>
  <c r="H71" i="50"/>
  <c r="G63" i="50"/>
  <c r="G62" i="50"/>
  <c r="G61" i="50"/>
  <c r="H69" i="50"/>
  <c r="H66" i="50"/>
  <c r="H63" i="50"/>
  <c r="F62" i="50"/>
  <c r="F61" i="50"/>
  <c r="F75" i="50"/>
  <c r="H75" i="50" s="1"/>
  <c r="G75" i="50"/>
  <c r="G74" i="50"/>
  <c r="G73" i="50"/>
  <c r="F105" i="50"/>
  <c r="F102" i="50"/>
  <c r="H102" i="50" s="1"/>
  <c r="F99" i="50"/>
  <c r="H99" i="50" s="1"/>
  <c r="G98" i="50"/>
  <c r="G96" i="50" s="1"/>
  <c r="F98" i="50"/>
  <c r="H98" i="50" s="1"/>
  <c r="F97" i="50"/>
  <c r="H97" i="50" s="1"/>
  <c r="H93" i="50"/>
  <c r="H88" i="50"/>
  <c r="H89" i="50"/>
  <c r="H92" i="50"/>
  <c r="H94" i="50"/>
  <c r="H95" i="50"/>
  <c r="H100" i="50"/>
  <c r="H101" i="50"/>
  <c r="H103" i="50"/>
  <c r="H104" i="50"/>
  <c r="H106" i="50"/>
  <c r="H107" i="50"/>
  <c r="H111" i="50"/>
  <c r="H112" i="50"/>
  <c r="H113" i="50"/>
  <c r="H114" i="50"/>
  <c r="H115" i="50"/>
  <c r="H116" i="50"/>
  <c r="H117" i="50"/>
  <c r="H118" i="50"/>
  <c r="H119" i="50"/>
  <c r="H142" i="50"/>
  <c r="H143" i="50"/>
  <c r="H146" i="50"/>
  <c r="H148" i="50"/>
  <c r="H149" i="50"/>
  <c r="H87" i="50"/>
  <c r="H86" i="50"/>
  <c r="G84" i="50"/>
  <c r="H40" i="50"/>
  <c r="H41" i="50"/>
  <c r="G37" i="50"/>
  <c r="G33" i="50"/>
  <c r="G30" i="50"/>
  <c r="G27" i="50"/>
  <c r="F27" i="50"/>
  <c r="F33" i="50"/>
  <c r="F26" i="50"/>
  <c r="Q51" i="30"/>
  <c r="L84" i="30"/>
  <c r="Q84" i="30" s="1"/>
  <c r="L61" i="30"/>
  <c r="L78" i="30"/>
  <c r="Q78" i="30" s="1"/>
  <c r="L79" i="30"/>
  <c r="Q79" i="30" s="1"/>
  <c r="L80" i="30"/>
  <c r="Q80" i="30" s="1"/>
  <c r="E35" i="30"/>
  <c r="E92" i="30" s="1"/>
  <c r="L43" i="30"/>
  <c r="Q43" i="30" s="1"/>
  <c r="L44" i="30"/>
  <c r="Q44" i="30" s="1"/>
  <c r="L49" i="30"/>
  <c r="Q49" i="30" s="1"/>
  <c r="L47" i="30"/>
  <c r="Q47" i="30" s="1"/>
  <c r="L48" i="30"/>
  <c r="Q48" i="30" s="1"/>
  <c r="L54" i="30"/>
  <c r="Q54" i="30" s="1"/>
  <c r="L40" i="30"/>
  <c r="Q40" i="30" s="1"/>
  <c r="L53" i="30"/>
  <c r="Q53" i="30" s="1"/>
  <c r="G36" i="50" l="1"/>
  <c r="G22" i="50"/>
  <c r="H33" i="50"/>
  <c r="M70" i="30"/>
  <c r="H105" i="50"/>
  <c r="D15" i="32"/>
  <c r="D17" i="32" s="1"/>
  <c r="G8" i="30"/>
  <c r="H137" i="50"/>
  <c r="H124" i="50"/>
  <c r="H61" i="50"/>
  <c r="F38" i="50"/>
  <c r="F36" i="50" s="1"/>
  <c r="H44" i="50"/>
  <c r="F122" i="50"/>
  <c r="H125" i="50"/>
  <c r="H42" i="50"/>
  <c r="H90" i="50"/>
  <c r="G138" i="50"/>
  <c r="G108" i="50"/>
  <c r="F135" i="50"/>
  <c r="C34" i="2" s="1"/>
  <c r="C33" i="2" s="1"/>
  <c r="C32" i="2" s="1"/>
  <c r="L42" i="30"/>
  <c r="Q42" i="30" s="1"/>
  <c r="I41" i="30"/>
  <c r="H39" i="50"/>
  <c r="G135" i="50"/>
  <c r="D34" i="2" s="1"/>
  <c r="D33" i="2" s="1"/>
  <c r="E34" i="30"/>
  <c r="O91" i="30"/>
  <c r="O98" i="30" s="1"/>
  <c r="L85" i="30"/>
  <c r="L72" i="30"/>
  <c r="E14" i="2"/>
  <c r="G23" i="50"/>
  <c r="F73" i="50"/>
  <c r="H73" i="50" s="1"/>
  <c r="H136" i="50"/>
  <c r="G123" i="50"/>
  <c r="G120" i="50" s="1"/>
  <c r="D17" i="2" s="1"/>
  <c r="G121" i="50"/>
  <c r="F121" i="50"/>
  <c r="F123" i="50"/>
  <c r="F138" i="50"/>
  <c r="H138" i="50" s="1"/>
  <c r="F108" i="50"/>
  <c r="H108" i="50" s="1"/>
  <c r="H85" i="50"/>
  <c r="H91" i="50"/>
  <c r="H80" i="50"/>
  <c r="F60" i="50"/>
  <c r="H62" i="50"/>
  <c r="G60" i="50"/>
  <c r="G72" i="50"/>
  <c r="H37" i="50"/>
  <c r="F96" i="50"/>
  <c r="H96" i="50" s="1"/>
  <c r="H25" i="50"/>
  <c r="H30" i="50"/>
  <c r="H26" i="50"/>
  <c r="H27" i="50"/>
  <c r="F24" i="50"/>
  <c r="Q72" i="30" l="1"/>
  <c r="G21" i="50"/>
  <c r="G150" i="50" s="1"/>
  <c r="F22" i="50"/>
  <c r="F23" i="50"/>
  <c r="D12" i="32"/>
  <c r="H38" i="50"/>
  <c r="H123" i="50"/>
  <c r="G152" i="50"/>
  <c r="G257" i="50" s="1"/>
  <c r="E33" i="2"/>
  <c r="F72" i="50"/>
  <c r="F21" i="50" s="1"/>
  <c r="E34" i="2"/>
  <c r="I35" i="30"/>
  <c r="I92" i="30" s="1"/>
  <c r="L41" i="30"/>
  <c r="Q41" i="30" s="1"/>
  <c r="G151" i="50"/>
  <c r="H24" i="50"/>
  <c r="H135" i="50"/>
  <c r="F120" i="50"/>
  <c r="D16" i="32" l="1"/>
  <c r="H151" i="50"/>
  <c r="H23" i="50"/>
  <c r="H22" i="50"/>
  <c r="D13" i="2"/>
  <c r="D16" i="2"/>
  <c r="C16" i="2"/>
  <c r="H120" i="50"/>
  <c r="C17" i="2"/>
  <c r="E17" i="2" s="1"/>
  <c r="I34" i="30"/>
  <c r="H152" i="50" l="1"/>
  <c r="H21" i="50"/>
  <c r="D20" i="2"/>
  <c r="E13" i="2"/>
  <c r="E16" i="2"/>
  <c r="Q61" i="30"/>
  <c r="N55" i="30"/>
  <c r="N92" i="30" s="1"/>
  <c r="N100" i="30" s="1"/>
  <c r="O55" i="30"/>
  <c r="O92" i="30" s="1"/>
  <c r="P55" i="30"/>
  <c r="P92" i="30" s="1"/>
  <c r="L65" i="30"/>
  <c r="Q65" i="30" s="1"/>
  <c r="L63" i="30"/>
  <c r="Q63" i="30" s="1"/>
  <c r="C7" i="17" l="1"/>
  <c r="E91" i="30" l="1"/>
  <c r="E98" i="30" s="1"/>
  <c r="L55" i="30"/>
  <c r="I31" i="30"/>
  <c r="I102" i="30" s="1"/>
  <c r="J31" i="30"/>
  <c r="J102" i="30" s="1"/>
  <c r="K31" i="30"/>
  <c r="K102" i="30" s="1"/>
  <c r="I29" i="30"/>
  <c r="I100" i="30" s="1"/>
  <c r="J29" i="30"/>
  <c r="J100" i="30" s="1"/>
  <c r="K29" i="30"/>
  <c r="K100" i="30" s="1"/>
  <c r="K99" i="30" l="1"/>
  <c r="J99" i="30"/>
  <c r="I99" i="30"/>
  <c r="J28" i="30"/>
  <c r="L81" i="30"/>
  <c r="L77" i="30"/>
  <c r="I28" i="30"/>
  <c r="K28" i="30"/>
  <c r="H14" i="30" l="1"/>
  <c r="L14" i="30" s="1"/>
  <c r="Q14" i="30" s="1"/>
  <c r="L10" i="30"/>
  <c r="Q10" i="30" s="1"/>
  <c r="L15" i="30"/>
  <c r="Q15" i="30" s="1"/>
  <c r="F35" i="30"/>
  <c r="F92" i="30" s="1"/>
  <c r="F99" i="30" s="1"/>
  <c r="J91" i="30"/>
  <c r="J98" i="30" s="1"/>
  <c r="F91" i="30" l="1"/>
  <c r="F98" i="30" s="1"/>
  <c r="H91" i="30"/>
  <c r="H98" i="30" s="1"/>
  <c r="F34" i="30"/>
  <c r="H8" i="30"/>
  <c r="L8" i="30" s="1"/>
  <c r="F238" i="50"/>
  <c r="F215" i="50"/>
  <c r="H84" i="50"/>
  <c r="H72" i="50"/>
  <c r="H60" i="50"/>
  <c r="L27" i="30"/>
  <c r="Q27" i="30" s="1"/>
  <c r="E25" i="30"/>
  <c r="N25" i="30"/>
  <c r="O25" i="30"/>
  <c r="O29" i="30" s="1"/>
  <c r="O100" i="30" s="1"/>
  <c r="P25" i="30"/>
  <c r="P29" i="30" s="1"/>
  <c r="P100" i="30" s="1"/>
  <c r="M25" i="30"/>
  <c r="H25" i="30"/>
  <c r="I25" i="30"/>
  <c r="J25" i="30"/>
  <c r="K25" i="30"/>
  <c r="D36" i="52" l="1"/>
  <c r="D35" i="52" s="1"/>
  <c r="H150" i="50"/>
  <c r="H215" i="50"/>
  <c r="I91" i="30"/>
  <c r="I98" i="30" s="1"/>
  <c r="K91" i="30"/>
  <c r="K98" i="30" s="1"/>
  <c r="L9" i="30"/>
  <c r="F25" i="30"/>
  <c r="Q9" i="30" l="1"/>
  <c r="D8" i="52"/>
  <c r="H28" i="30"/>
  <c r="F263" i="50" s="1"/>
  <c r="Q8" i="30" l="1"/>
  <c r="K10" i="32"/>
  <c r="F264" i="50"/>
  <c r="L11" i="30"/>
  <c r="Q11" i="30" s="1"/>
  <c r="N10" i="32" l="1"/>
  <c r="K9" i="32"/>
  <c r="F171" i="50"/>
  <c r="N9" i="32" l="1"/>
  <c r="H184" i="50" l="1"/>
  <c r="G92" i="30" l="1"/>
  <c r="G100" i="30" s="1"/>
  <c r="G99" i="30" s="1"/>
  <c r="G34" i="30"/>
  <c r="L35" i="30"/>
  <c r="L82" i="30"/>
  <c r="L16" i="17"/>
  <c r="K31" i="17"/>
  <c r="J31" i="17"/>
  <c r="H31" i="17"/>
  <c r="G31" i="17"/>
  <c r="D31" i="17"/>
  <c r="K16" i="17"/>
  <c r="E16" i="17"/>
  <c r="G16" i="17"/>
  <c r="H16" i="17"/>
  <c r="I16" i="17"/>
  <c r="J16" i="17"/>
  <c r="M16" i="17"/>
  <c r="I31" i="17"/>
  <c r="G91" i="30" l="1"/>
  <c r="G98" i="30" s="1"/>
  <c r="L98" i="30" s="1"/>
  <c r="L92" i="30"/>
  <c r="L71" i="30"/>
  <c r="Q71" i="30" s="1"/>
  <c r="L31" i="17"/>
  <c r="F31" i="17"/>
  <c r="N31" i="17"/>
  <c r="M31" i="17"/>
  <c r="E31" i="17"/>
  <c r="Q92" i="30" l="1"/>
  <c r="L91" i="30"/>
  <c r="H177" i="50"/>
  <c r="H178" i="50"/>
  <c r="M101" i="30" l="1"/>
  <c r="M99" i="30" s="1"/>
  <c r="H218" i="50" l="1"/>
  <c r="F212" i="50"/>
  <c r="H212" i="50" l="1"/>
  <c r="H253" i="50"/>
  <c r="R34" i="30" l="1"/>
  <c r="F190" i="50" l="1"/>
  <c r="H171" i="50" l="1"/>
  <c r="H179" i="50"/>
  <c r="H190" i="50" l="1"/>
  <c r="E38" i="2"/>
  <c r="H248" i="50"/>
  <c r="H247" i="50"/>
  <c r="F168" i="50"/>
  <c r="F156" i="50" l="1"/>
  <c r="H168" i="50"/>
  <c r="G25" i="30" l="1"/>
  <c r="L25" i="30" s="1"/>
  <c r="Q25" i="30" s="1"/>
  <c r="K15" i="32" s="1"/>
  <c r="K17" i="32" s="1"/>
  <c r="L26" i="30"/>
  <c r="Q26" i="30" s="1"/>
  <c r="G28" i="30"/>
  <c r="H242" i="50"/>
  <c r="G239" i="50"/>
  <c r="O28" i="30"/>
  <c r="P28" i="30"/>
  <c r="H239" i="50" l="1"/>
  <c r="G238" i="50"/>
  <c r="G250" i="50" s="1"/>
  <c r="E58" i="2" l="1"/>
  <c r="O30" i="17" l="1"/>
  <c r="L39" i="30"/>
  <c r="Q39" i="30" s="1"/>
  <c r="L70" i="30" l="1"/>
  <c r="Q70" i="30" s="1"/>
  <c r="Q85" i="30"/>
  <c r="H237" i="50"/>
  <c r="H229" i="50"/>
  <c r="R70" i="30"/>
  <c r="R92" i="30" s="1"/>
  <c r="R91" i="30" s="1"/>
  <c r="H245" i="50"/>
  <c r="H246" i="50"/>
  <c r="F210" i="50"/>
  <c r="F206" i="50" s="1"/>
  <c r="H214" i="50"/>
  <c r="H216" i="50"/>
  <c r="M17" i="32"/>
  <c r="J16" i="32"/>
  <c r="J18" i="32"/>
  <c r="L18" i="32"/>
  <c r="L16" i="32" s="1"/>
  <c r="M18" i="32"/>
  <c r="D24" i="2"/>
  <c r="C27" i="2"/>
  <c r="E27" i="2" s="1"/>
  <c r="D28" i="2"/>
  <c r="E28" i="2" s="1"/>
  <c r="H176" i="50"/>
  <c r="H170" i="50"/>
  <c r="H159" i="50"/>
  <c r="H160" i="50"/>
  <c r="H161" i="50"/>
  <c r="H162" i="50"/>
  <c r="H163" i="50"/>
  <c r="H164" i="50"/>
  <c r="H165" i="50"/>
  <c r="H158" i="50"/>
  <c r="H228" i="50"/>
  <c r="H221" i="50"/>
  <c r="H220" i="50"/>
  <c r="D70" i="52"/>
  <c r="H226" i="50"/>
  <c r="H227" i="50"/>
  <c r="G12" i="32"/>
  <c r="G16" i="32" s="1"/>
  <c r="H193" i="50"/>
  <c r="H175" i="50"/>
  <c r="H187" i="50"/>
  <c r="H174" i="50"/>
  <c r="H173" i="50"/>
  <c r="H223" i="50"/>
  <c r="H233" i="50"/>
  <c r="H231" i="50"/>
  <c r="H240" i="50"/>
  <c r="H230" i="50"/>
  <c r="H211" i="50"/>
  <c r="H210" i="50" s="1"/>
  <c r="H206" i="50" s="1"/>
  <c r="L88" i="30"/>
  <c r="H181" i="50"/>
  <c r="Q77" i="30"/>
  <c r="H232" i="50"/>
  <c r="H235" i="50"/>
  <c r="H236" i="50"/>
  <c r="H188" i="50"/>
  <c r="L90" i="30"/>
  <c r="H183" i="50"/>
  <c r="H234" i="50"/>
  <c r="L73" i="30"/>
  <c r="Q73" i="30" s="1"/>
  <c r="Q82" i="30"/>
  <c r="E12" i="32"/>
  <c r="H12" i="32"/>
  <c r="H16" i="32" s="1"/>
  <c r="I12" i="32"/>
  <c r="I16" i="32" s="1"/>
  <c r="L12" i="32"/>
  <c r="M12" i="32"/>
  <c r="M16" i="32" s="1"/>
  <c r="H195" i="50"/>
  <c r="H196" i="50"/>
  <c r="F12" i="32"/>
  <c r="F16" i="32" s="1"/>
  <c r="Q81" i="30"/>
  <c r="H222" i="50"/>
  <c r="Q83" i="30"/>
  <c r="H194" i="50" s="1"/>
  <c r="H198" i="50"/>
  <c r="H169" i="50"/>
  <c r="L38" i="30"/>
  <c r="Q38" i="30" s="1"/>
  <c r="H172" i="50"/>
  <c r="Q90" i="30" l="1"/>
  <c r="O14" i="17"/>
  <c r="O13" i="17"/>
  <c r="E16" i="32"/>
  <c r="G254" i="50"/>
  <c r="C24" i="55"/>
  <c r="H24" i="55" s="1"/>
  <c r="N15" i="32"/>
  <c r="Q88" i="30"/>
  <c r="N99" i="30"/>
  <c r="D67" i="52"/>
  <c r="D73" i="52" s="1"/>
  <c r="H199" i="50"/>
  <c r="Q93" i="30"/>
  <c r="P99" i="30"/>
  <c r="C25" i="2"/>
  <c r="E25" i="2" s="1"/>
  <c r="H256" i="50"/>
  <c r="H157" i="50"/>
  <c r="H238" i="50"/>
  <c r="D26" i="2"/>
  <c r="E26" i="2" s="1"/>
  <c r="H224" i="50"/>
  <c r="H213" i="50"/>
  <c r="L34" i="30"/>
  <c r="Q34" i="30" s="1"/>
  <c r="L101" i="30"/>
  <c r="O11" i="17" l="1"/>
  <c r="O12" i="17"/>
  <c r="N12" i="17" s="1"/>
  <c r="R100" i="30"/>
  <c r="R99" i="30" s="1"/>
  <c r="H156" i="50"/>
  <c r="G268" i="50"/>
  <c r="H268" i="50" s="1"/>
  <c r="F154" i="50"/>
  <c r="H251" i="50"/>
  <c r="E23" i="2"/>
  <c r="D29" i="2"/>
  <c r="D30" i="2" s="1"/>
  <c r="H271" i="50"/>
  <c r="G269" i="50"/>
  <c r="D54" i="2" s="1"/>
  <c r="G273" i="50"/>
  <c r="O99" i="30"/>
  <c r="D35" i="2"/>
  <c r="D32" i="2" s="1"/>
  <c r="E32" i="2" s="1"/>
  <c r="F275" i="50"/>
  <c r="H275" i="50" s="1"/>
  <c r="Q101" i="30"/>
  <c r="H254" i="50" l="1"/>
  <c r="N16" i="17"/>
  <c r="O15" i="17"/>
  <c r="H154" i="50"/>
  <c r="O9" i="17"/>
  <c r="D53" i="2"/>
  <c r="O28" i="17" s="1"/>
  <c r="D39" i="2"/>
  <c r="C24" i="2"/>
  <c r="E54" i="2"/>
  <c r="O29" i="17"/>
  <c r="C22" i="2"/>
  <c r="H269" i="50"/>
  <c r="F262" i="50"/>
  <c r="C47" i="2" s="1"/>
  <c r="H250" i="50" l="1"/>
  <c r="E53" i="2"/>
  <c r="C29" i="2"/>
  <c r="E29" i="2" s="1"/>
  <c r="E24" i="2"/>
  <c r="E22" i="2"/>
  <c r="C48" i="2"/>
  <c r="O25" i="17" s="1"/>
  <c r="H263" i="50"/>
  <c r="E47" i="2"/>
  <c r="C49" i="2"/>
  <c r="O26" i="17" s="1"/>
  <c r="H264" i="50"/>
  <c r="H262" i="50"/>
  <c r="O8" i="17" l="1"/>
  <c r="C8" i="17" s="1"/>
  <c r="C30" i="2"/>
  <c r="C39" i="2" s="1"/>
  <c r="O10" i="17"/>
  <c r="O24" i="17"/>
  <c r="E49" i="2"/>
  <c r="E48" i="2"/>
  <c r="C16" i="17" l="1"/>
  <c r="E30" i="2"/>
  <c r="E39" i="2"/>
  <c r="O16" i="17"/>
  <c r="E29" i="30"/>
  <c r="E100" i="30" s="1"/>
  <c r="L100" i="30" l="1"/>
  <c r="L99" i="30" s="1"/>
  <c r="E99" i="30"/>
  <c r="K14" i="32"/>
  <c r="K12" i="32" s="1"/>
  <c r="Q100" i="30" l="1"/>
  <c r="L31" i="30"/>
  <c r="L29" i="30"/>
  <c r="K18" i="32"/>
  <c r="N14" i="32"/>
  <c r="N18" i="32" s="1"/>
  <c r="L16" i="30"/>
  <c r="Q16" i="30" s="1"/>
  <c r="N12" i="32"/>
  <c r="E28" i="30"/>
  <c r="F28" i="30"/>
  <c r="L28" i="30" l="1"/>
  <c r="Q28" i="30" s="1"/>
  <c r="Q31" i="30"/>
  <c r="L102" i="30"/>
  <c r="Q29" i="30"/>
  <c r="F273" i="50"/>
  <c r="H273" i="50" s="1"/>
  <c r="H272" i="50" s="1"/>
  <c r="F261" i="50"/>
  <c r="Q17" i="30"/>
  <c r="Q99" i="30" l="1"/>
  <c r="Q102" i="30"/>
  <c r="C46" i="2"/>
  <c r="E46" i="2" s="1"/>
  <c r="H261" i="50"/>
  <c r="K16" i="32"/>
  <c r="F274" i="50"/>
  <c r="N13" i="32"/>
  <c r="N17" i="32" s="1"/>
  <c r="F260" i="50"/>
  <c r="O23" i="17" l="1"/>
  <c r="N16" i="32"/>
  <c r="H260" i="50"/>
  <c r="H265" i="50" s="1"/>
  <c r="F265" i="50"/>
  <c r="C45" i="2"/>
  <c r="F272" i="50" l="1"/>
  <c r="C50" i="2"/>
  <c r="C60" i="2" s="1"/>
  <c r="E45" i="2"/>
  <c r="O22" i="17" l="1"/>
  <c r="C31" i="2"/>
  <c r="E50" i="2"/>
  <c r="C56" i="2"/>
  <c r="F16" i="17" l="1"/>
  <c r="D16" i="17"/>
  <c r="D37" i="52"/>
  <c r="D6" i="52" l="1"/>
  <c r="D74" i="52" s="1"/>
  <c r="Q55" i="30"/>
  <c r="Q69" i="30"/>
  <c r="G267" i="50" l="1"/>
  <c r="G270" i="50" s="1"/>
  <c r="M91" i="30"/>
  <c r="M98" i="30" s="1"/>
  <c r="F78" i="52" l="1"/>
  <c r="D52" i="2"/>
  <c r="O27" i="17" s="1"/>
  <c r="O31" i="17" s="1"/>
  <c r="H267" i="50"/>
  <c r="H270" i="50" s="1"/>
  <c r="G272" i="50"/>
  <c r="Q91" i="30"/>
  <c r="G274" i="50"/>
  <c r="H274" i="50" s="1"/>
  <c r="E52" i="2" l="1"/>
  <c r="D55" i="2"/>
  <c r="D60" i="2" s="1"/>
  <c r="Q98" i="30"/>
  <c r="E55" i="2" l="1"/>
  <c r="D56" i="2"/>
  <c r="D31" i="2"/>
  <c r="E56" i="2" l="1"/>
  <c r="E60" i="2" s="1"/>
  <c r="E31" i="2" l="1"/>
</calcChain>
</file>

<file path=xl/sharedStrings.xml><?xml version="1.0" encoding="utf-8"?>
<sst xmlns="http://schemas.openxmlformats.org/spreadsheetml/2006/main" count="916" uniqueCount="412">
  <si>
    <t xml:space="preserve">Közfoglalkoztatás </t>
  </si>
  <si>
    <t>BEVÉTELI ELŐIRÁNYZAT FELHASZNÁLÁS ALAKULÁSA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</si>
  <si>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</si>
  <si>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</si>
  <si>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</si>
  <si>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</si>
  <si>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</si>
  <si>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</si>
  <si>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</si>
  <si>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</si>
  <si>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</si>
  <si>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</si>
  <si>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</si>
  <si>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</si>
  <si>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</si>
  <si>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</si>
  <si>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</si>
  <si>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</si>
  <si>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</si>
  <si>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</si>
  <si>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</si>
  <si>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</si>
  <si>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</si>
  <si>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</si>
  <si>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KIADÁSI ELŐIRÁNYZAT FELHASZNÁLÁS ALAKULÁSA</t>
  </si>
  <si>
    <t>Személyi juttatások</t>
  </si>
  <si>
    <t>Dologi kiadások</t>
  </si>
  <si>
    <t>MEGNEVEZÉS</t>
  </si>
  <si>
    <t>Működési</t>
  </si>
  <si>
    <t>Felhalmozási</t>
  </si>
  <si>
    <t>Összesen</t>
  </si>
  <si>
    <t>célú</t>
  </si>
  <si>
    <t>BEVÉTELEK</t>
  </si>
  <si>
    <t>I.</t>
  </si>
  <si>
    <t>II.</t>
  </si>
  <si>
    <t>KIADÁSOK</t>
  </si>
  <si>
    <t>Beruházások</t>
  </si>
  <si>
    <t>Felújítások</t>
  </si>
  <si>
    <t>III.</t>
  </si>
  <si>
    <t>M E G N E V E Z É S</t>
  </si>
  <si>
    <t>Gépjárműadó</t>
  </si>
  <si>
    <t>Egyéb felhalmozási célú kiadások</t>
  </si>
  <si>
    <t>Cím</t>
  </si>
  <si>
    <t>Cím ,</t>
  </si>
  <si>
    <t>Személyi</t>
  </si>
  <si>
    <t>Dologi</t>
  </si>
  <si>
    <t>Beruházá-</t>
  </si>
  <si>
    <t>Létszám-</t>
  </si>
  <si>
    <t>Alcím</t>
  </si>
  <si>
    <t xml:space="preserve">             alcím megnevezése</t>
  </si>
  <si>
    <t>kiadások</t>
  </si>
  <si>
    <t>célú kiadások</t>
  </si>
  <si>
    <t>sok, felújí-</t>
  </si>
  <si>
    <t>keret</t>
  </si>
  <si>
    <t>Szám</t>
  </si>
  <si>
    <t>tások</t>
  </si>
  <si>
    <t>Város -és községgazdálkodási szolgáltatás</t>
  </si>
  <si>
    <t>Közvilágítás</t>
  </si>
  <si>
    <t>Ö S S Z E S E N</t>
  </si>
  <si>
    <t xml:space="preserve"> </t>
  </si>
  <si>
    <t xml:space="preserve">Ellátottak pénzbeli juttatása </t>
  </si>
  <si>
    <t xml:space="preserve">Felújítások </t>
  </si>
  <si>
    <t>Finanszírozási kiadások</t>
  </si>
  <si>
    <t>Közfoglalkoztatás</t>
  </si>
  <si>
    <t>Egyéb működési célú kiadások</t>
  </si>
  <si>
    <t>juttatások</t>
  </si>
  <si>
    <t>Ellátottak pénzbeli juttatásai</t>
  </si>
  <si>
    <t>Felhal-mozási</t>
  </si>
  <si>
    <t>Közhatalmi bevételek</t>
  </si>
  <si>
    <t>Önkormányzati intézmények bevételei</t>
  </si>
  <si>
    <t>k</t>
  </si>
  <si>
    <t>ö</t>
  </si>
  <si>
    <t>Munkaadókat terhelő járulékok és szociális hozzájárulási adó</t>
  </si>
  <si>
    <t>Működési költségvetés</t>
  </si>
  <si>
    <t xml:space="preserve">Működési költségvetés összesen </t>
  </si>
  <si>
    <t>Felhalmozási költségvetés</t>
  </si>
  <si>
    <t xml:space="preserve">Felhalmozási költségvetés összesen </t>
  </si>
  <si>
    <t>Működési költségvetés összesen:</t>
  </si>
  <si>
    <t>Munkaadókat terhelő</t>
  </si>
  <si>
    <t>járulékok és szociális</t>
  </si>
  <si>
    <t>hozzájárulási adó</t>
  </si>
  <si>
    <t>Ebből: kötelező feladatellátás</t>
  </si>
  <si>
    <t>önként vállalt feladatok</t>
  </si>
  <si>
    <t>Európai Uniós forrásból finanszírozott támogatással megvalósuló programok, projektek</t>
  </si>
  <si>
    <t>Európai Uniós forrásból finanszírozott támogatással megvalósuló programokhoz, projektekhez történő hozzájárulás</t>
  </si>
  <si>
    <t>AZ ÖNKORMÁNYZAT ÁLTAL IRÁNYÍTOTT KÖLTSÉGVETÉSI SZERVEK  BEVÉTELEI</t>
  </si>
  <si>
    <t>Saját bevételből, hazai támogatásból megvalósuló programok, projektek</t>
  </si>
  <si>
    <t xml:space="preserve">        önként vállalt feladatok</t>
  </si>
  <si>
    <t>állami (államigazgatási) feladat</t>
  </si>
  <si>
    <t>önként vállalt feladatokhoz</t>
  </si>
  <si>
    <t>ebből: kötelező feladatellátáshoz</t>
  </si>
  <si>
    <t>- általános működési támogatás</t>
  </si>
  <si>
    <t>á</t>
  </si>
  <si>
    <t>Állami (államigazgatási) feladatellátáshoz</t>
  </si>
  <si>
    <t>Önként vállalt feladatellátáshoz</t>
  </si>
  <si>
    <t>Ebből:kötelező feladatellátáshoz</t>
  </si>
  <si>
    <t>Finanszírozási bevételek</t>
  </si>
  <si>
    <t>BEVÉTELEK MINDÖSSZESEN (I.+II.+III.)</t>
  </si>
  <si>
    <t>Polgármesteri Hivatal pénzbeli és természetbeni ellátásai</t>
  </si>
  <si>
    <t>Civil szervezetek, személyek támogatása</t>
  </si>
  <si>
    <t>Saját bevételből, hazai támogatásból megvalósuló programok, projektek támogatása</t>
  </si>
  <si>
    <t>Rendszeres gyermekvédelmi kedvezmény</t>
  </si>
  <si>
    <t>rovat</t>
  </si>
  <si>
    <t>KÖLTSÉGVETÉSI BEVÉTELEK               (B1-7.)</t>
  </si>
  <si>
    <t>A</t>
  </si>
  <si>
    <t>B</t>
  </si>
  <si>
    <t>B111</t>
  </si>
  <si>
    <t>B112</t>
  </si>
  <si>
    <t>- egyes köznevelési feladatok támogatása</t>
  </si>
  <si>
    <t>B113</t>
  </si>
  <si>
    <t>B114</t>
  </si>
  <si>
    <t>B115</t>
  </si>
  <si>
    <t>B116</t>
  </si>
  <si>
    <t>B12. Elvonások és befizetések bevételei</t>
  </si>
  <si>
    <t>B13. Működési célú garancia- és kezességvállalásból származó megtérülések</t>
  </si>
  <si>
    <t>B14. Működési célú visszatérítendő támogatások, kölcsönök visszatérülése</t>
  </si>
  <si>
    <t>B15. Működési célú visszatérítendő támogatások, kölcsönök igénybevétele</t>
  </si>
  <si>
    <t>B16. Egyéb működési célú támogatások:</t>
  </si>
  <si>
    <t>Rendszeres gyermekvédelmi támogatás</t>
  </si>
  <si>
    <t>B31. Jövedelemadók</t>
  </si>
  <si>
    <t>B32. Szociális hozzájárulási adó és járulákok</t>
  </si>
  <si>
    <t>Magánszemélyek kommunális adója</t>
  </si>
  <si>
    <t>Iparűzési adó</t>
  </si>
  <si>
    <t>B36. Egyéb közhatalmi bevételek:</t>
  </si>
  <si>
    <t>B36</t>
  </si>
  <si>
    <t>B4. Működési bevételek</t>
  </si>
  <si>
    <t>B404</t>
  </si>
  <si>
    <t>B403</t>
  </si>
  <si>
    <t>B408</t>
  </si>
  <si>
    <t>B402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</si>
  <si>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</si>
  <si>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</si>
  <si>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</si>
  <si>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</si>
  <si>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KÖLTSÉGVETÉSI KIADÁSOK                                       (K1-8.)</t>
  </si>
  <si>
    <t>Működési költségvetés:</t>
  </si>
  <si>
    <t>K11.-12.</t>
  </si>
  <si>
    <t>K2.</t>
  </si>
  <si>
    <t>K31.-35.</t>
  </si>
  <si>
    <t>K41.-48.</t>
  </si>
  <si>
    <t>K5.</t>
  </si>
  <si>
    <t>Felhalmozási költségvetés:</t>
  </si>
  <si>
    <t>K6.</t>
  </si>
  <si>
    <t>K7.</t>
  </si>
  <si>
    <t>K8.</t>
  </si>
  <si>
    <t>Felhalmozási költségvetés összesen:</t>
  </si>
  <si>
    <t>K9.Finanszírozási kiadások:</t>
  </si>
  <si>
    <t xml:space="preserve">KIADÁSOK ÖSSZESEN </t>
  </si>
  <si>
    <t>- ebből: kötelező feladatellátás</t>
  </si>
  <si>
    <t>államigazgatási (állami) feladatok</t>
  </si>
  <si>
    <t>KIADÁSOK MINDÖSSZESEN (I+II+III)</t>
  </si>
  <si>
    <t>Ellátottak</t>
  </si>
  <si>
    <t>pénzbeli</t>
  </si>
  <si>
    <t>juttatásai</t>
  </si>
  <si>
    <t>Felhalmozási célú átvett pénzeszközök</t>
  </si>
  <si>
    <t>Működési célú átvett pénzeszközök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</si>
  <si>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</si>
  <si>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</si>
  <si>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</si>
  <si>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</si>
  <si>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- szociális, gyermekjóléti és gyermekétkeztetési feladatok támogatása</t>
  </si>
  <si>
    <t>B3. Közhatalmi bevételek (B31.+…+B36.)</t>
  </si>
  <si>
    <t>B8131</t>
  </si>
  <si>
    <t>B33. Bérhez és foglalkoztatáshoz kapcsolódó adók</t>
  </si>
  <si>
    <t>Működési célú</t>
  </si>
  <si>
    <t>B1. Működési célú támogatások államháztartáson belülről (B11.+…+B16.):</t>
  </si>
  <si>
    <t>B401</t>
  </si>
  <si>
    <t>B409</t>
  </si>
  <si>
    <t>B410</t>
  </si>
  <si>
    <t>Egyéb pénzügyi műveletek bevételei</t>
  </si>
  <si>
    <t>Egyéb működési bevételek</t>
  </si>
  <si>
    <t>B11. Önkormányzat működési támogatásai:</t>
  </si>
  <si>
    <t>B2. Felhalmozási célú támogatások államháztartáson belülről (B21.+…+B25) - Önkormányzat:</t>
  </si>
  <si>
    <t>B34. Vagyoni típusú adók - Önkormányzat:</t>
  </si>
  <si>
    <t>B35. Termékek és szolgáltatások adói - Önkormányzat:</t>
  </si>
  <si>
    <t>Működési célú támogatások államháztar-táson belülről     B1.</t>
  </si>
  <si>
    <t>Felhalmozási célú átvett pénzeszközök     B7.</t>
  </si>
  <si>
    <t>Működési bevételek    B4.</t>
  </si>
  <si>
    <t>Működési célú átvett pénzeszközök            B6.</t>
  </si>
  <si>
    <t>Felhalmozási célú támogatások államháztar-táson belülről      B2.</t>
  </si>
  <si>
    <t xml:space="preserve">B16 </t>
  </si>
  <si>
    <t xml:space="preserve">B25 </t>
  </si>
  <si>
    <t>Kamatbevételek</t>
  </si>
  <si>
    <t>Szolgáltatások ellenértéke</t>
  </si>
  <si>
    <t>Áru- és készletértékesítés ellenértéke</t>
  </si>
  <si>
    <t>Közvetített szolgáltatások ellenértéke</t>
  </si>
  <si>
    <t>Egyéb közhatalmi bevételek</t>
  </si>
  <si>
    <t>Tulajdonosi bevételek</t>
  </si>
  <si>
    <t>B52-53</t>
  </si>
  <si>
    <t>államház-tartáson kívülre</t>
  </si>
  <si>
    <t>államház-tartáson belülre</t>
  </si>
  <si>
    <t>tarta-lékok</t>
  </si>
  <si>
    <t>Egyéb felhalmozás célú kiadások</t>
  </si>
  <si>
    <t>Önkormányzati hozzájárulás</t>
  </si>
  <si>
    <t>B407</t>
  </si>
  <si>
    <t>B406</t>
  </si>
  <si>
    <t>Ellátási díjak</t>
  </si>
  <si>
    <t>Kiszámlázott általános forgalmi adó</t>
  </si>
  <si>
    <t>Általános forgalmi adó visszatérítés</t>
  </si>
  <si>
    <t>B405</t>
  </si>
  <si>
    <t>k: kötelező, ö: önként vállalt, á: államigaz-gatás feladat</t>
  </si>
  <si>
    <t>k: kötelező, ö: önként vállalt, á: államigaz-gatási feladat</t>
  </si>
  <si>
    <t>k: kötelező, ö: önként vállalt, á: állam-igaz-gatási feladat</t>
  </si>
  <si>
    <t>KÖLTSÉGVETÉSI BEVÉTELEK ÖSSZESEN (I.+II.)</t>
  </si>
  <si>
    <t>Az Önkormányzat által irányított költségvetési szervek költségvetési bevételei</t>
  </si>
  <si>
    <t xml:space="preserve">KÖLTSÉGVETÉSI KIADÁSOK ÖSSZESEN </t>
  </si>
  <si>
    <t>Költségvetési egyenleg - hiány (Költségvetési bevételek összesen -Költségvetési kiadások összesen)</t>
  </si>
  <si>
    <t>Értékesítések</t>
  </si>
  <si>
    <t>Cím megnevezése</t>
  </si>
  <si>
    <t>Költségvetési bevételek B1-B7.</t>
  </si>
  <si>
    <t>Finanszírozási bevételek B8.</t>
  </si>
  <si>
    <t>Család- és nővédelmi egészségügyi gondozás</t>
  </si>
  <si>
    <t>- önkormányzati hivatal működésének támogatása</t>
  </si>
  <si>
    <t>- zöldterület-gazdálkodással kapcsolatos feladatok ellátásának támogatása</t>
  </si>
  <si>
    <t>- közvilágítás fenntartásának támogatása</t>
  </si>
  <si>
    <t>- köztemető fenntartásával kapcsolatos feladatok támogatása</t>
  </si>
  <si>
    <t>- közutak fenntartásának támogatása</t>
  </si>
  <si>
    <t>- egyéb önkormányzati feladatok támogatása</t>
  </si>
  <si>
    <t>- lakott külterülettel kapcsolatos feladatok támogatása</t>
  </si>
  <si>
    <t>- óvodapedagógusok és a nevelő munkát közvetlenül segítők bértámogatása</t>
  </si>
  <si>
    <t>- óvodaműködtetési támogatás</t>
  </si>
  <si>
    <t>- szociális étkeztetés</t>
  </si>
  <si>
    <t>- házi segítségnyújtás</t>
  </si>
  <si>
    <t>- időskorúak nappali intézményi ellátása</t>
  </si>
  <si>
    <t>Közművelődési intézmények, közösségi színterek működtetése</t>
  </si>
  <si>
    <t>Família Szociális Alapszolgáltatási Központ</t>
  </si>
  <si>
    <t>Csengődi Napközi Otthonos Óvoda</t>
  </si>
  <si>
    <t>- gyermekétkeztetés, rászoruló gyermekek szünidei étkeztetése</t>
  </si>
  <si>
    <t>Költségvetési hiány finanszírozása -  belső finanszírozás - előző év maradványának igénybevétele</t>
  </si>
  <si>
    <t xml:space="preserve">Előző évi maradvány           </t>
  </si>
  <si>
    <t xml:space="preserve"> Likviditási célú hitelek, kölcsönök törlesztése pénzügyi vállalkozásnak</t>
  </si>
  <si>
    <t>Államháztartáson belüli megelőlegezések  visszafizetése</t>
  </si>
  <si>
    <t xml:space="preserve"> 'Felhalmozási bevétel B5</t>
  </si>
  <si>
    <t>Bursa Hungarica</t>
  </si>
  <si>
    <t>B8112</t>
  </si>
  <si>
    <t>Likviditási célú hitel, kölcsönök felvétele pénzügyi vállalkozástól</t>
  </si>
  <si>
    <t>B814</t>
  </si>
  <si>
    <t>Államháztartáson belüli megelőlegezések</t>
  </si>
  <si>
    <t>Gyermekvédelmi ellátások</t>
  </si>
  <si>
    <t>- működési célú költségvetési támogatás és kiegészítő támogatás</t>
  </si>
  <si>
    <t>BEVÉTELEK ÖSSZESEN A+B</t>
  </si>
  <si>
    <t>Nyári diákmunka támogatása</t>
  </si>
  <si>
    <t>B351</t>
  </si>
  <si>
    <t>B354</t>
  </si>
  <si>
    <t>B341</t>
  </si>
  <si>
    <t xml:space="preserve">        - Szociális célú tüzelőanyag vásárláshoz kapcsolódó kiegészítő támogatás </t>
  </si>
  <si>
    <t>Egyéb kiadói tevékenység</t>
  </si>
  <si>
    <t>Étkeztetés</t>
  </si>
  <si>
    <t>Csengődi Polgármesteri Hivatal</t>
  </si>
  <si>
    <t>Csengőd Község Önkormányzata</t>
  </si>
  <si>
    <t>Pályázatok</t>
  </si>
  <si>
    <t>Társulási hozzájárulás</t>
  </si>
  <si>
    <t>Előző év költségvetési maradványának igénybevétele</t>
  </si>
  <si>
    <t>INTÉZMÉNYEK ÖSSZESEN ( 1. - 3. sorok )</t>
  </si>
  <si>
    <t>Rendkívüli települési támogatás</t>
  </si>
  <si>
    <t>Önkormányzat igazgatási tevékenysége</t>
  </si>
  <si>
    <t>Köztemetés</t>
  </si>
  <si>
    <t>Közutak fenntarása</t>
  </si>
  <si>
    <t>Önkormányzati vagyongazdálkodás, hasznosítás</t>
  </si>
  <si>
    <t>Önkormányzati rendezvények</t>
  </si>
  <si>
    <t xml:space="preserve"> Köztemető fenntartása</t>
  </si>
  <si>
    <t>Szociális, egészségügyi, gyermekvédelmi ellátások, segélyek, támogatások</t>
  </si>
  <si>
    <t>Összesen 1-3. sorok</t>
  </si>
  <si>
    <t>B. Az Önkormányzat bevételei összesen B1.+…+B8.</t>
  </si>
  <si>
    <t>Közfoglalkoztatási mintaprogram</t>
  </si>
  <si>
    <t xml:space="preserve">TOP-3.2.1-15-BK1-2016-00037. </t>
  </si>
  <si>
    <t xml:space="preserve">TOP-3.2.2-15-BK1-2016-00003 </t>
  </si>
  <si>
    <t xml:space="preserve">TOP-4.2.1-15-BK1-2016-00010 </t>
  </si>
  <si>
    <t>Szabadidősport (rekreációs) tevékenység</t>
  </si>
  <si>
    <t>Az Önkormányzat bevételei</t>
  </si>
  <si>
    <t>Az Önkormányzat finanszírozási bevételei</t>
  </si>
  <si>
    <t>Finanszírozási bevétel</t>
  </si>
  <si>
    <t>Ebből: Ebrendészeti hozzájárulás</t>
  </si>
  <si>
    <t xml:space="preserve">            Házi-és gyermekügyeleti hozzájárulás</t>
  </si>
  <si>
    <t xml:space="preserve">           Ivóvíz hozzájárulás</t>
  </si>
  <si>
    <t>Összesen (II./1-7.)</t>
  </si>
  <si>
    <t>Összesen (I/1-7.)</t>
  </si>
  <si>
    <t>Képviselő testületi és igazgatási feladatok</t>
  </si>
  <si>
    <t>TOP 3.2.2-15 Biomassza fűtésrendszer kialakítása</t>
  </si>
  <si>
    <t>CSENGŐD KÖZSÉG ÖNKORMÁNYZATA</t>
  </si>
  <si>
    <t xml:space="preserve">                                                                                                        Állami (államigazgatási) feladatellátáshoz</t>
  </si>
  <si>
    <t xml:space="preserve">                                              Önként vállalt feladatellátáshoz</t>
  </si>
  <si>
    <t xml:space="preserve">           '- kulturális illetménypótlék</t>
  </si>
  <si>
    <t>Környezetvédelmi feladatok</t>
  </si>
  <si>
    <t>Elvonások és befizetések</t>
  </si>
  <si>
    <t>TOP-4.2.1-15 Szociális étkeztetés fejlesztése</t>
  </si>
  <si>
    <t>Konyhai gépek beszerzése</t>
  </si>
  <si>
    <t>B411</t>
  </si>
  <si>
    <t>B25 Egyéb felhalmozási célú támogatások bevételei államháztartáson belülről</t>
  </si>
  <si>
    <t>B21 Felhalmozási célú önkormányzati támogatások</t>
  </si>
  <si>
    <t>-Polgármesteri illetmény támogatása</t>
  </si>
  <si>
    <t>- közművelődési feladatok támogatása</t>
  </si>
  <si>
    <t xml:space="preserve">       '- közművelődési feladatok támogatása</t>
  </si>
  <si>
    <t>VP</t>
  </si>
  <si>
    <t>Tárgyi eszköz beszerzése</t>
  </si>
  <si>
    <t>TOP-1.4.1-16-BK1-2017-00007.</t>
  </si>
  <si>
    <t>Építési beruházás</t>
  </si>
  <si>
    <t>Eszköz beszerzés</t>
  </si>
  <si>
    <t>Közművelődés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</si>
  <si>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</si>
  <si>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</t>
  </si>
  <si>
    <t>VP6-7.2.1-7.4.1.3-17 -piac önrész</t>
  </si>
  <si>
    <t>VP6-7.2.1-7.4.1.3-17 -piac</t>
  </si>
  <si>
    <t xml:space="preserve">VP6-19.2.1.-91-3.-17 </t>
  </si>
  <si>
    <t>-Tárgyi eszközök beszezése</t>
  </si>
  <si>
    <t>Szociális és gyermekjóléti feladatok</t>
  </si>
  <si>
    <t>VP6-7.2.1-7.4.1.2-16-"Telefonos út stabilizációja"</t>
  </si>
  <si>
    <t>VP6-19.2.1.-91-3.-17 -térfigyelőkamera rendszer kiépítése</t>
  </si>
  <si>
    <t>Költségvetési tartalék, céltartalék</t>
  </si>
  <si>
    <t>B1. Működési célú támogatások államháztartáson belülről (B11.+…+B16.)</t>
  </si>
  <si>
    <t>Egyéb működési célú bevételek</t>
  </si>
  <si>
    <t>Területalapú támogatás</t>
  </si>
  <si>
    <t>Mezei őrszolgálat fenntartása</t>
  </si>
  <si>
    <t>Mezei őrszolgálat</t>
  </si>
  <si>
    <t>Fogorvosi, háziorvosi alapellátás</t>
  </si>
  <si>
    <t>Készletértékesítés ellenértéke</t>
  </si>
  <si>
    <t>Felhalmozási     célú</t>
  </si>
  <si>
    <t>Óvodai ellátás, étkeztetés, szociális feladatok</t>
  </si>
  <si>
    <t>B21</t>
  </si>
  <si>
    <t>TOP-5.3.1-16-BK1-2017-00004.</t>
  </si>
  <si>
    <t>TOP-5.3.1-16-BK1-2017-0004</t>
  </si>
  <si>
    <t>- I.1. jogcímhez tartozó beszámítás</t>
  </si>
  <si>
    <t>- települési önkormányzatok szociális feladatainak egyéb támogatása</t>
  </si>
  <si>
    <t>- családsegítés és gyermekjóléti szolgálat</t>
  </si>
  <si>
    <t>- tanyagondnoki szolgáltatás</t>
  </si>
  <si>
    <t>2019. évi európai uniós választás</t>
  </si>
  <si>
    <t>2019. évi önkormányzati választás</t>
  </si>
  <si>
    <t>Adó-és Igazgatási tevékenység</t>
  </si>
  <si>
    <t xml:space="preserve"> Ft-ban</t>
  </si>
  <si>
    <t>Sorszám</t>
  </si>
  <si>
    <t>Feladat</t>
  </si>
  <si>
    <t>Az átcsoportosítás jogát gyakorolja</t>
  </si>
  <si>
    <t>Polgármester</t>
  </si>
  <si>
    <t>I. Csengőd Község Önkormányzatánál már folyamatban lévő programok, projektek</t>
  </si>
  <si>
    <t>Az európai uniós forrásokkal támogatott program megnevezése és a pályázat célja</t>
  </si>
  <si>
    <t>Kiadások összesen</t>
  </si>
  <si>
    <t>Önerő</t>
  </si>
  <si>
    <t>Támogatás megelőlegezése önkormányzati bevételből</t>
  </si>
  <si>
    <t>Hazai - központi támogatás</t>
  </si>
  <si>
    <t>Európai Unió támogatása</t>
  </si>
  <si>
    <t>Mini bölcsőde építése Csengődön</t>
  </si>
  <si>
    <t>Biomassza fűtésrendszer kialakítása</t>
  </si>
  <si>
    <t>Szociális étkeztetés fejlesztése</t>
  </si>
  <si>
    <t>VP6-7.2.1-7.4.1.2-16</t>
  </si>
  <si>
    <t>Külterületi út, "Telefonos út" stabilizálása</t>
  </si>
  <si>
    <t>Ft-ban</t>
  </si>
  <si>
    <t>KÖTELEZETTSÉGEK</t>
  </si>
  <si>
    <t>Kötelezettség a tárgyévet követő</t>
  </si>
  <si>
    <t>1. évben</t>
  </si>
  <si>
    <t>2. évben</t>
  </si>
  <si>
    <t>3. évben</t>
  </si>
  <si>
    <t>4. és ezt követő 10 évben</t>
  </si>
  <si>
    <t>Fogorvosi feladatok ellátásának támogatása</t>
  </si>
  <si>
    <t>ÖSSZESEN:</t>
  </si>
  <si>
    <t>Szöveges indoklás</t>
  </si>
  <si>
    <t xml:space="preserve">1. </t>
  </si>
  <si>
    <t>Határozatlan időre kötött ellátási szerződés</t>
  </si>
  <si>
    <t>KÖVETELÉSEK</t>
  </si>
  <si>
    <t>Követelés a tárgyévet követő</t>
  </si>
  <si>
    <t>4. és ezt követő év(ek)ben</t>
  </si>
  <si>
    <t>Magyarország gazdasági stabilitásáról szóló 2011. évi CXCIV. törvény 3.§ (1) bekezdése szerinti adósságot keletkeztető ügyletek és kezességvállalások, valamint saját bevételek</t>
  </si>
  <si>
    <t>4. és ezt követő 10 évben a futamidő végéig, ill. a kezesség érvényesít-hetőségéig</t>
  </si>
  <si>
    <t>1</t>
  </si>
  <si>
    <t>hitel, kölcsön felvétele, átvállalása a folyósítás, átvállalás napjától a végtörlesztés napjáig, és annak aktuális tőketartozása - tervezett</t>
  </si>
  <si>
    <t xml:space="preserve">Tervezett adósságot keletkeztető ügyletek hitelei </t>
  </si>
  <si>
    <t>saját bevételek</t>
  </si>
  <si>
    <t>Fegyver</t>
  </si>
  <si>
    <t>Szociális tűzifa 2018</t>
  </si>
  <si>
    <t>Szociális tűzifa 2017 kiegészítés</t>
  </si>
  <si>
    <t>Télirezsicsökkentés</t>
  </si>
  <si>
    <t>Víztorony felújítása</t>
  </si>
  <si>
    <t>Vízművek energiahatékonyságának fejlesztése</t>
  </si>
  <si>
    <t>Védőnői szolgálat</t>
  </si>
  <si>
    <t>NEAK támogatás - védőnő</t>
  </si>
  <si>
    <t>-Elszámolásból származó bevétel</t>
  </si>
  <si>
    <t>Fejlesztéses pályázat</t>
  </si>
  <si>
    <t>2019.</t>
  </si>
  <si>
    <t>Bölcsődei feladatellátás</t>
  </si>
  <si>
    <t>ÖNKORMÁNYZATI KIADÁSOK ÖSSZESEN ( 4-22. sorok )</t>
  </si>
  <si>
    <t>Város-és községszolgáltatás</t>
  </si>
  <si>
    <t>VP6-7.2.1-7.4.1.2-16 "Telefonos út stabilizációja"</t>
  </si>
  <si>
    <t>Környeztvédelmi beruházás</t>
  </si>
  <si>
    <t>Önkormányzati tevékenység</t>
  </si>
  <si>
    <t>BERUHÁZÁSOK, FELÚJÍTÁSOK ÉS EGYÉB FELHALMOZÁSI JELLEGŰ KIADÁSOK, TÁMOGATÁSOK ÖSSZESEN</t>
  </si>
  <si>
    <t>Működési célú kiadások</t>
  </si>
  <si>
    <t>2019. évi előirányzat</t>
  </si>
  <si>
    <t>tartalékok</t>
  </si>
  <si>
    <t>Helyi közösségek fejlesztése Csengőd, Akasztó, Kaskantyú, Páhi, Soltszentimre és Tabdi településeken</t>
  </si>
  <si>
    <t xml:space="preserve">Helyi termelői piac kialakítása Csengődön </t>
  </si>
  <si>
    <t>VP6-7.2.1-7.4.1.3-17</t>
  </si>
  <si>
    <t>Csengőd Községben kamera rendszer kiépítése</t>
  </si>
  <si>
    <t xml:space="preserve">        - Kiegyenlítő bérrendezési alapból nyújtható támogatás</t>
  </si>
  <si>
    <r>
      <t xml:space="preserve">AZ ÖNKORMÁNYZAT KIADÁSAI FINANSZÍROZÁSI KIADÁSOKKAL ÖSSZESEN </t>
    </r>
    <r>
      <rPr>
        <sz val="8"/>
        <rFont val="Times New Roman CE"/>
        <family val="1"/>
        <charset val="238"/>
      </rPr>
      <t>( 4-24. sorok )</t>
    </r>
  </si>
  <si>
    <t>TOP-5.3.1-16 pályázat</t>
  </si>
  <si>
    <t>TOP-5.3.1-16 páláyzathoz kapcsolódó kötelezttségvállalások</t>
  </si>
  <si>
    <t>'-minimálbér és a garantált bérminimum emelésével kapcsolatos kompenzáció</t>
  </si>
  <si>
    <t xml:space="preserve">        - Rendkívüli önkormányzati támogatás</t>
  </si>
  <si>
    <t>-  kiegészítő támogatás</t>
  </si>
  <si>
    <t xml:space="preserve">József Attila utcai útszakasz felújítása </t>
  </si>
  <si>
    <t>József Attila utcai útszakasz felújítása (Csengőd 55.)</t>
  </si>
  <si>
    <t>József Attila utcaszkasz felújítása  (Csengőd 55.)</t>
  </si>
  <si>
    <t>TOP-1.4.1-19-BK1-2019-00032</t>
  </si>
  <si>
    <t>Térfigyelő kamerarendszer kiépítése</t>
  </si>
  <si>
    <t>TOP-1.4.1.-19-BK1-2019-00032-. Mini bölcsőde építése</t>
  </si>
  <si>
    <t>Szociális tűzifa 2019</t>
  </si>
  <si>
    <t>Zöldterület-gazdálkodássa, településüzemeltetéssel kapcsolatos feladatok</t>
  </si>
  <si>
    <t>Óvodai feladatellátás</t>
  </si>
  <si>
    <t>Gumilap beszerzése</t>
  </si>
  <si>
    <t>József Attila utcaszkasz felújítása (Csengőd 576.)</t>
  </si>
  <si>
    <t>Térfigyelőkamera rendszer kiépítése</t>
  </si>
  <si>
    <t>Klímaberendezés</t>
  </si>
  <si>
    <t>Ingatlan vásárlás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</si>
</sst>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164" formatCode="_-* #,##0\ &quot;Ft&quot;_-;\-* #,##0\ &quot;Ft&quot;_-;_-* &quot;-&quot;\ &quot;Ft&quot;_-;_-@_-"/>
    <numFmt numFmtId="165" formatCode="_-* #,##0\ _F_t_-;\-* #,##0\ _F_t_-;_-* &quot;-&quot;\ _F_t_-;_-@_-"/>
  </numFmts>
  <fonts count="105" x14ac:knownFonts="1">
    <font>
      <sz val="10"/>
      <name val="Arial CE"/>
      <charset val="238"/>
    </font>
    <font>
      <sz val="10"/>
      <name val="Arial CE"/>
      <charset val="238"/>
    </font>
    <font>
      <sz val="10"/>
      <color indexed="8"/>
      <name val="Tahoma"/>
      <family val="2"/>
    </font>
    <font>
      <sz val="6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7"/>
      <name val="Tahoma"/>
      <family val="2"/>
      <charset val="238"/>
    </font>
    <font>
      <sz val="7"/>
      <name val="Tahoma"/>
      <family val="2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b/>
      <sz val="9"/>
      <color indexed="8"/>
      <name val="Times New Roman CE"/>
      <family val="1"/>
      <charset val="238"/>
    </font>
    <font>
      <sz val="9"/>
      <color indexed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charset val="238"/>
    </font>
    <font>
      <b/>
      <sz val="10"/>
      <name val="Times New Roman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i/>
      <sz val="10"/>
      <name val="Times New Roman"/>
      <family val="1"/>
      <charset val="238"/>
    </font>
    <font>
      <b/>
      <sz val="10"/>
      <color indexed="8"/>
      <name val="Times New Roman CE"/>
      <family val="1"/>
      <charset val="238"/>
    </font>
    <font>
      <i/>
      <sz val="10"/>
      <name val="Arial CE"/>
      <charset val="238"/>
    </font>
    <font>
      <b/>
      <i/>
      <sz val="8"/>
      <name val="Times New Roman CE"/>
      <charset val="238"/>
    </font>
    <font>
      <sz val="10"/>
      <name val="Times New Roman CE"/>
      <charset val="238"/>
    </font>
    <font>
      <sz val="10"/>
      <color indexed="10"/>
      <name val="Times New Roman"/>
      <family val="1"/>
      <charset val="238"/>
    </font>
    <font>
      <sz val="10"/>
      <name val="Tahoma"/>
      <family val="2"/>
      <charset val="238"/>
    </font>
    <font>
      <sz val="10"/>
      <color indexed="10"/>
      <name val="Tahoma"/>
      <family val="2"/>
      <charset val="238"/>
    </font>
    <font>
      <sz val="7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8"/>
      <name val="Arial CE"/>
      <charset val="238"/>
    </font>
    <font>
      <sz val="10"/>
      <color theme="1"/>
      <name val="Times New Roman CE"/>
      <family val="1"/>
      <charset val="238"/>
    </font>
    <font>
      <sz val="10"/>
      <color theme="1"/>
      <name val="Times New Roman CE"/>
      <charset val="238"/>
    </font>
    <font>
      <b/>
      <i/>
      <sz val="8"/>
      <color rgb="FFFFFF00"/>
      <name val="Times New Roman CE"/>
      <family val="1"/>
      <charset val="238"/>
    </font>
    <font>
      <i/>
      <sz val="8"/>
      <color rgb="FFFFFF00"/>
      <name val="Times New Roman CE"/>
      <family val="1"/>
      <charset val="238"/>
    </font>
    <font>
      <sz val="8"/>
      <color rgb="FFFFFF00"/>
      <name val="Times New Roman CE"/>
      <family val="1"/>
      <charset val="238"/>
    </font>
    <font>
      <b/>
      <i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 CE"/>
      <family val="1"/>
      <charset val="238"/>
    </font>
    <font>
      <b/>
      <i/>
      <sz val="10"/>
      <color rgb="FFFF0000"/>
      <name val="Times New Roman CE"/>
      <charset val="238"/>
    </font>
    <font>
      <b/>
      <sz val="8"/>
      <color rgb="FFFF0000"/>
      <name val="Times New Roman CE"/>
      <family val="1"/>
      <charset val="238"/>
    </font>
    <font>
      <i/>
      <sz val="8"/>
      <color rgb="FFFF0000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8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rgb="FFFF0000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b/>
      <i/>
      <sz val="7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8"/>
      <name val="Arial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7"/>
      <name val="Times New Roman CE"/>
      <charset val="238"/>
    </font>
    <font>
      <sz val="8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sz val="7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7"/>
      <color rgb="FFFF0000"/>
      <name val="Times New Roman"/>
      <family val="1"/>
      <charset val="238"/>
    </font>
    <font>
      <b/>
      <i/>
      <sz val="8"/>
      <color rgb="FFFF0000"/>
      <name val="Times New Roman"/>
      <family val="1"/>
      <charset val="238"/>
    </font>
    <font>
      <sz val="8"/>
      <name val="Tahoma"/>
      <family val="2"/>
    </font>
    <font>
      <sz val="9"/>
      <name val="Tahoma"/>
      <family val="2"/>
    </font>
    <font>
      <sz val="11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b/>
      <sz val="9"/>
      <name val="Arial CE"/>
      <charset val="238"/>
    </font>
    <font>
      <sz val="9"/>
      <color indexed="10"/>
      <name val="Times New Roman CE"/>
      <family val="1"/>
      <charset val="238"/>
    </font>
    <font>
      <b/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10"/>
      <name val="MS Sans Serif"/>
      <family val="2"/>
      <charset val="238"/>
    </font>
    <font>
      <b/>
      <u/>
      <sz val="9"/>
      <name val="Times New Roman CE"/>
      <family val="1"/>
      <charset val="238"/>
    </font>
    <font>
      <sz val="8"/>
      <color indexed="63"/>
      <name val="Times New Roman CE"/>
      <family val="1"/>
      <charset val="238"/>
    </font>
    <font>
      <b/>
      <sz val="9"/>
      <color indexed="10"/>
      <name val="Times New Roman CE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rgb="FF00B0F0"/>
      <name val="Times New Roman"/>
      <family val="1"/>
      <charset val="238"/>
    </font>
    <font>
      <sz val="8"/>
      <color rgb="FF00B0F0"/>
      <name val="Times New Roman"/>
      <family val="1"/>
      <charset val="238"/>
    </font>
    <font>
      <b/>
      <sz val="8"/>
      <color rgb="FF00B0F0"/>
      <name val="Times New Roman CE"/>
      <charset val="238"/>
    </font>
    <font>
      <sz val="8"/>
      <color rgb="FF00B0F0"/>
      <name val="Times New Roman CE"/>
      <charset val="238"/>
    </font>
    <font>
      <sz val="8"/>
      <color theme="1"/>
      <name val="Times New Roman CE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color theme="1"/>
      <name val="Times New Roman CE"/>
      <family val="1"/>
      <charset val="238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i/>
      <sz val="8"/>
      <name val="Times New Roman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1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85" fillId="0" borderId="0"/>
  </cellStyleXfs>
  <cellXfs count="1135">
    <xf numFmtId="0" fontId="0" fillId="0" borderId="0" xfId="0"/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shrinkToFit="1"/>
    </xf>
    <xf numFmtId="0" fontId="6" fillId="0" borderId="0" xfId="0" applyFont="1" applyAlignment="1">
      <alignment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shrinkToFit="1"/>
    </xf>
    <xf numFmtId="0" fontId="7" fillId="0" borderId="0" xfId="0" applyFont="1" applyAlignment="1">
      <alignment shrinkToFit="1"/>
    </xf>
    <xf numFmtId="0" fontId="7" fillId="0" borderId="0" xfId="0" applyFont="1" applyAlignment="1">
      <alignment vertical="center" shrinkToFit="1"/>
    </xf>
    <xf numFmtId="3" fontId="9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0" fontId="1" fillId="0" borderId="0" xfId="0" applyFont="1"/>
    <xf numFmtId="0" fontId="15" fillId="0" borderId="0" xfId="0" applyFont="1" applyAlignment="1">
      <alignment vertical="center" shrinkToFit="1"/>
    </xf>
    <xf numFmtId="0" fontId="16" fillId="0" borderId="0" xfId="0" applyFont="1" applyAlignment="1">
      <alignment horizontal="justify" vertical="center" shrinkToFit="1"/>
    </xf>
    <xf numFmtId="0" fontId="17" fillId="0" borderId="0" xfId="0" applyFont="1" applyAlignment="1">
      <alignment vertical="center" shrinkToFit="1"/>
    </xf>
    <xf numFmtId="0" fontId="10" fillId="0" borderId="0" xfId="0" applyFont="1" applyAlignment="1">
      <alignment vertical="center" wrapText="1"/>
    </xf>
    <xf numFmtId="0" fontId="20" fillId="0" borderId="0" xfId="0" applyFont="1"/>
    <xf numFmtId="3" fontId="12" fillId="0" borderId="0" xfId="2" applyNumberFormat="1" applyFont="1" applyAlignment="1">
      <alignment vertical="center"/>
    </xf>
    <xf numFmtId="3" fontId="13" fillId="0" borderId="0" xfId="2" applyNumberFormat="1" applyFont="1" applyAlignment="1">
      <alignment horizontal="center" vertical="center"/>
    </xf>
    <xf numFmtId="3" fontId="14" fillId="0" borderId="0" xfId="2" applyNumberFormat="1" applyFont="1" applyAlignment="1">
      <alignment vertical="center"/>
    </xf>
    <xf numFmtId="0" fontId="18" fillId="0" borderId="0" xfId="0" applyFont="1"/>
    <xf numFmtId="3" fontId="0" fillId="0" borderId="0" xfId="0" applyNumberFormat="1"/>
    <xf numFmtId="3" fontId="28" fillId="0" borderId="0" xfId="2" applyNumberFormat="1" applyFont="1" applyAlignment="1">
      <alignment vertical="center"/>
    </xf>
    <xf numFmtId="3" fontId="27" fillId="0" borderId="0" xfId="0" applyNumberFormat="1" applyFont="1" applyAlignment="1">
      <alignment vertical="center"/>
    </xf>
    <xf numFmtId="3" fontId="29" fillId="0" borderId="0" xfId="2" applyNumberFormat="1" applyFont="1" applyAlignment="1">
      <alignment vertical="center"/>
    </xf>
    <xf numFmtId="0" fontId="31" fillId="0" borderId="0" xfId="0" applyFont="1" applyAlignment="1">
      <alignment vertical="center" shrinkToFit="1"/>
    </xf>
    <xf numFmtId="0" fontId="32" fillId="0" borderId="0" xfId="0" applyFont="1"/>
    <xf numFmtId="3" fontId="33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 shrinkToFit="1"/>
    </xf>
    <xf numFmtId="3" fontId="8" fillId="0" borderId="0" xfId="0" applyNumberFormat="1" applyFont="1" applyAlignment="1">
      <alignment shrinkToFit="1"/>
    </xf>
    <xf numFmtId="0" fontId="6" fillId="0" borderId="0" xfId="0" applyFont="1" applyAlignment="1">
      <alignment vertical="center" shrinkToFit="1"/>
    </xf>
    <xf numFmtId="3" fontId="2" fillId="0" borderId="0" xfId="0" applyNumberFormat="1" applyFont="1" applyAlignment="1">
      <alignment vertical="center" shrinkToFit="1"/>
    </xf>
    <xf numFmtId="3" fontId="12" fillId="0" borderId="0" xfId="0" applyNumberFormat="1" applyFont="1" applyAlignment="1">
      <alignment vertical="center"/>
    </xf>
    <xf numFmtId="3" fontId="23" fillId="0" borderId="8" xfId="0" applyNumberFormat="1" applyFont="1" applyBorder="1" applyAlignment="1">
      <alignment vertical="center"/>
    </xf>
    <xf numFmtId="3" fontId="23" fillId="0" borderId="8" xfId="0" applyNumberFormat="1" applyFont="1" applyBorder="1" applyAlignment="1">
      <alignment vertical="center" wrapText="1"/>
    </xf>
    <xf numFmtId="3" fontId="23" fillId="0" borderId="0" xfId="0" applyNumberFormat="1" applyFont="1" applyAlignment="1">
      <alignment horizontal="right" vertical="center"/>
    </xf>
    <xf numFmtId="0" fontId="36" fillId="0" borderId="0" xfId="0" applyFont="1" applyAlignment="1">
      <alignment horizontal="center" shrinkToFit="1"/>
    </xf>
    <xf numFmtId="2" fontId="23" fillId="0" borderId="0" xfId="0" applyNumberFormat="1" applyFont="1" applyAlignment="1">
      <alignment shrinkToFit="1"/>
    </xf>
    <xf numFmtId="0" fontId="36" fillId="0" borderId="0" xfId="0" applyFont="1" applyAlignment="1">
      <alignment horizontal="justify" shrinkToFit="1"/>
    </xf>
    <xf numFmtId="0" fontId="36" fillId="0" borderId="0" xfId="0" applyFont="1" applyAlignment="1">
      <alignment horizontal="right" shrinkToFit="1"/>
    </xf>
    <xf numFmtId="0" fontId="23" fillId="0" borderId="17" xfId="0" applyFont="1" applyBorder="1" applyAlignment="1">
      <alignment horizontal="center" shrinkToFit="1"/>
    </xf>
    <xf numFmtId="2" fontId="23" fillId="0" borderId="7" xfId="0" applyNumberFormat="1" applyFont="1" applyBorder="1" applyAlignment="1">
      <alignment shrinkToFit="1"/>
    </xf>
    <xf numFmtId="0" fontId="23" fillId="0" borderId="10" xfId="0" applyFont="1" applyBorder="1" applyAlignment="1">
      <alignment horizontal="justify" shrinkToFit="1"/>
    </xf>
    <xf numFmtId="0" fontId="23" fillId="0" borderId="34" xfId="0" applyFont="1" applyBorder="1" applyAlignment="1">
      <alignment horizontal="center" shrinkToFit="1"/>
    </xf>
    <xf numFmtId="0" fontId="24" fillId="0" borderId="9" xfId="0" applyFont="1" applyBorder="1" applyAlignment="1">
      <alignment horizontal="center" shrinkToFit="1"/>
    </xf>
    <xf numFmtId="0" fontId="23" fillId="0" borderId="4" xfId="0" applyFont="1" applyBorder="1" applyAlignment="1">
      <alignment horizontal="center" shrinkToFit="1"/>
    </xf>
    <xf numFmtId="2" fontId="23" fillId="0" borderId="35" xfId="0" applyNumberFormat="1" applyFont="1" applyBorder="1" applyAlignment="1">
      <alignment shrinkToFit="1"/>
    </xf>
    <xf numFmtId="0" fontId="35" fillId="0" borderId="5" xfId="0" applyFont="1" applyBorder="1" applyAlignment="1">
      <alignment horizontal="justify" shrinkToFit="1"/>
    </xf>
    <xf numFmtId="0" fontId="35" fillId="0" borderId="36" xfId="0" applyFont="1" applyBorder="1" applyAlignment="1">
      <alignment horizontal="center" shrinkToFit="1"/>
    </xf>
    <xf numFmtId="2" fontId="24" fillId="0" borderId="37" xfId="0" applyNumberFormat="1" applyFont="1" applyBorder="1" applyAlignment="1">
      <alignment vertical="center" wrapText="1"/>
    </xf>
    <xf numFmtId="2" fontId="24" fillId="0" borderId="11" xfId="0" applyNumberFormat="1" applyFont="1" applyBorder="1" applyAlignment="1">
      <alignment vertical="center" wrapText="1"/>
    </xf>
    <xf numFmtId="0" fontId="23" fillId="0" borderId="1" xfId="0" applyFont="1" applyBorder="1" applyAlignment="1">
      <alignment horizontal="center" shrinkToFit="1"/>
    </xf>
    <xf numFmtId="2" fontId="23" fillId="0" borderId="23" xfId="0" applyNumberFormat="1" applyFont="1" applyBorder="1" applyAlignment="1">
      <alignment shrinkToFit="1"/>
    </xf>
    <xf numFmtId="3" fontId="23" fillId="2" borderId="23" xfId="0" applyNumberFormat="1" applyFont="1" applyFill="1" applyBorder="1" applyAlignment="1">
      <alignment horizontal="right" shrinkToFit="1"/>
    </xf>
    <xf numFmtId="2" fontId="23" fillId="0" borderId="23" xfId="0" applyNumberFormat="1" applyFont="1" applyBorder="1" applyAlignment="1">
      <alignment horizontal="left" shrinkToFit="1"/>
    </xf>
    <xf numFmtId="2" fontId="23" fillId="0" borderId="11" xfId="0" applyNumberFormat="1" applyFont="1" applyBorder="1" applyAlignment="1">
      <alignment shrinkToFit="1"/>
    </xf>
    <xf numFmtId="3" fontId="23" fillId="2" borderId="11" xfId="0" applyNumberFormat="1" applyFont="1" applyFill="1" applyBorder="1" applyAlignment="1">
      <alignment horizontal="right" shrinkToFit="1"/>
    </xf>
    <xf numFmtId="2" fontId="24" fillId="0" borderId="2" xfId="0" applyNumberFormat="1" applyFont="1" applyBorder="1" applyAlignment="1">
      <alignment horizontal="center" vertical="center" shrinkToFit="1"/>
    </xf>
    <xf numFmtId="2" fontId="24" fillId="0" borderId="3" xfId="0" applyNumberFormat="1" applyFont="1" applyBorder="1" applyAlignment="1">
      <alignment vertical="center" shrinkToFit="1"/>
    </xf>
    <xf numFmtId="0" fontId="23" fillId="0" borderId="45" xfId="0" applyFont="1" applyBorder="1" applyAlignment="1">
      <alignment horizontal="center" vertical="center" shrinkToFit="1"/>
    </xf>
    <xf numFmtId="2" fontId="23" fillId="0" borderId="0" xfId="0" applyNumberFormat="1" applyFont="1" applyAlignment="1">
      <alignment vertical="center" wrapText="1"/>
    </xf>
    <xf numFmtId="3" fontId="24" fillId="0" borderId="46" xfId="0" applyNumberFormat="1" applyFont="1" applyBorder="1" applyAlignment="1">
      <alignment horizontal="right" vertical="center" shrinkToFit="1"/>
    </xf>
    <xf numFmtId="2" fontId="23" fillId="0" borderId="18" xfId="0" applyNumberFormat="1" applyFont="1" applyBorder="1" applyAlignment="1">
      <alignment shrinkToFit="1"/>
    </xf>
    <xf numFmtId="2" fontId="24" fillId="0" borderId="9" xfId="0" applyNumberFormat="1" applyFont="1" applyBorder="1" applyAlignment="1">
      <alignment vertical="center" shrinkToFit="1"/>
    </xf>
    <xf numFmtId="3" fontId="23" fillId="0" borderId="9" xfId="0" applyNumberFormat="1" applyFont="1" applyBorder="1" applyAlignment="1">
      <alignment horizontal="right" vertical="center" shrinkToFit="1"/>
    </xf>
    <xf numFmtId="0" fontId="24" fillId="0" borderId="2" xfId="0" applyFont="1" applyBorder="1" applyAlignment="1">
      <alignment horizontal="center" shrinkToFit="1"/>
    </xf>
    <xf numFmtId="2" fontId="24" fillId="0" borderId="3" xfId="0" applyNumberFormat="1" applyFont="1" applyBorder="1" applyAlignment="1">
      <alignment shrinkToFit="1"/>
    </xf>
    <xf numFmtId="0" fontId="24" fillId="0" borderId="45" xfId="0" applyFont="1" applyBorder="1" applyAlignment="1">
      <alignment horizontal="center" shrinkToFit="1"/>
    </xf>
    <xf numFmtId="2" fontId="24" fillId="0" borderId="11" xfId="0" applyNumberFormat="1" applyFont="1" applyBorder="1" applyAlignment="1">
      <alignment shrinkToFit="1"/>
    </xf>
    <xf numFmtId="0" fontId="24" fillId="0" borderId="30" xfId="0" applyFont="1" applyBorder="1" applyAlignment="1">
      <alignment horizontal="center" shrinkToFit="1"/>
    </xf>
    <xf numFmtId="2" fontId="24" fillId="0" borderId="47" xfId="0" applyNumberFormat="1" applyFont="1" applyBorder="1" applyAlignment="1">
      <alignment shrinkToFit="1"/>
    </xf>
    <xf numFmtId="3" fontId="36" fillId="0" borderId="0" xfId="0" applyNumberFormat="1" applyFont="1" applyAlignment="1">
      <alignment horizontal="justify" shrinkToFit="1"/>
    </xf>
    <xf numFmtId="0" fontId="37" fillId="0" borderId="0" xfId="0" applyFont="1" applyAlignment="1">
      <alignment horizontal="justify" shrinkToFit="1"/>
    </xf>
    <xf numFmtId="0" fontId="37" fillId="0" borderId="0" xfId="0" applyFont="1" applyAlignment="1">
      <alignment horizontal="center" shrinkToFit="1"/>
    </xf>
    <xf numFmtId="0" fontId="26" fillId="0" borderId="0" xfId="0" applyFont="1" applyAlignment="1">
      <alignment vertical="center" shrinkToFit="1"/>
    </xf>
    <xf numFmtId="0" fontId="23" fillId="0" borderId="0" xfId="0" applyFont="1"/>
    <xf numFmtId="0" fontId="38" fillId="0" borderId="0" xfId="0" applyFont="1" applyAlignment="1">
      <alignment horizontal="right" vertical="center" shrinkToFit="1"/>
    </xf>
    <xf numFmtId="0" fontId="26" fillId="0" borderId="33" xfId="0" applyFont="1" applyBorder="1" applyAlignment="1">
      <alignment vertical="center"/>
    </xf>
    <xf numFmtId="0" fontId="39" fillId="0" borderId="0" xfId="0" applyFont="1" applyAlignment="1">
      <alignment vertical="center" shrinkToFit="1"/>
    </xf>
    <xf numFmtId="0" fontId="26" fillId="0" borderId="31" xfId="0" applyFont="1" applyBorder="1" applyAlignment="1">
      <alignment vertical="center"/>
    </xf>
    <xf numFmtId="0" fontId="25" fillId="0" borderId="58" xfId="0" applyFont="1" applyBorder="1" applyAlignment="1">
      <alignment horizontal="center" vertical="center"/>
    </xf>
    <xf numFmtId="4" fontId="28" fillId="0" borderId="0" xfId="2" applyNumberFormat="1" applyFont="1" applyAlignment="1">
      <alignment vertical="center"/>
    </xf>
    <xf numFmtId="3" fontId="26" fillId="0" borderId="0" xfId="0" applyNumberFormat="1" applyFont="1" applyAlignment="1">
      <alignment vertical="center" shrinkToFit="1"/>
    </xf>
    <xf numFmtId="0" fontId="12" fillId="0" borderId="4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12" fillId="0" borderId="71" xfId="0" applyFont="1" applyBorder="1" applyAlignment="1">
      <alignment vertical="center" wrapText="1"/>
    </xf>
    <xf numFmtId="0" fontId="12" fillId="0" borderId="45" xfId="0" applyFont="1" applyBorder="1" applyAlignment="1">
      <alignment vertical="center" wrapText="1"/>
    </xf>
    <xf numFmtId="0" fontId="12" fillId="0" borderId="73" xfId="0" applyFont="1" applyBorder="1" applyAlignment="1">
      <alignment vertical="center" wrapText="1"/>
    </xf>
    <xf numFmtId="0" fontId="40" fillId="0" borderId="78" xfId="0" applyFont="1" applyBorder="1" applyAlignment="1">
      <alignment horizontal="center" vertical="center"/>
    </xf>
    <xf numFmtId="3" fontId="23" fillId="2" borderId="9" xfId="0" applyNumberFormat="1" applyFont="1" applyFill="1" applyBorder="1" applyAlignment="1">
      <alignment horizontal="right" vertical="center" shrinkToFit="1"/>
    </xf>
    <xf numFmtId="3" fontId="24" fillId="2" borderId="41" xfId="0" applyNumberFormat="1" applyFont="1" applyFill="1" applyBorder="1" applyAlignment="1">
      <alignment horizontal="right" shrinkToFit="1"/>
    </xf>
    <xf numFmtId="3" fontId="36" fillId="0" borderId="0" xfId="0" applyNumberFormat="1" applyFont="1" applyAlignment="1">
      <alignment horizontal="right" shrinkToFit="1"/>
    </xf>
    <xf numFmtId="0" fontId="4" fillId="0" borderId="0" xfId="0" applyFont="1" applyAlignment="1">
      <alignment vertical="center" wrapText="1" shrinkToFit="1"/>
    </xf>
    <xf numFmtId="3" fontId="37" fillId="0" borderId="0" xfId="0" applyNumberFormat="1" applyFont="1" applyAlignment="1">
      <alignment horizontal="justify" shrinkToFit="1"/>
    </xf>
    <xf numFmtId="3" fontId="3" fillId="0" borderId="0" xfId="0" applyNumberFormat="1" applyFont="1" applyAlignment="1">
      <alignment vertical="center"/>
    </xf>
    <xf numFmtId="3" fontId="7" fillId="0" borderId="0" xfId="0" applyNumberFormat="1" applyFont="1" applyAlignment="1">
      <alignment shrinkToFit="1"/>
    </xf>
    <xf numFmtId="3" fontId="5" fillId="0" borderId="0" xfId="0" applyNumberFormat="1" applyFont="1" applyAlignment="1">
      <alignment shrinkToFit="1"/>
    </xf>
    <xf numFmtId="3" fontId="12" fillId="0" borderId="0" xfId="0" applyNumberFormat="1" applyFont="1" applyAlignment="1">
      <alignment horizontal="right" vertical="center" shrinkToFit="1"/>
    </xf>
    <xf numFmtId="0" fontId="12" fillId="0" borderId="0" xfId="0" applyFont="1" applyAlignment="1">
      <alignment vertical="center" shrinkToFit="1"/>
    </xf>
    <xf numFmtId="1" fontId="12" fillId="0" borderId="0" xfId="2" applyNumberFormat="1" applyFont="1" applyAlignment="1">
      <alignment horizontal="right" vertical="center"/>
    </xf>
    <xf numFmtId="3" fontId="34" fillId="0" borderId="0" xfId="2" applyNumberFormat="1" applyFont="1" applyAlignment="1">
      <alignment horizontal="center" vertical="center"/>
    </xf>
    <xf numFmtId="3" fontId="20" fillId="0" borderId="0" xfId="0" applyNumberFormat="1" applyFont="1"/>
    <xf numFmtId="3" fontId="9" fillId="3" borderId="0" xfId="0" applyNumberFormat="1" applyFont="1" applyFill="1" applyAlignment="1">
      <alignment vertical="center"/>
    </xf>
    <xf numFmtId="3" fontId="11" fillId="3" borderId="0" xfId="0" applyNumberFormat="1" applyFont="1" applyFill="1" applyAlignment="1">
      <alignment vertical="center"/>
    </xf>
    <xf numFmtId="3" fontId="27" fillId="3" borderId="0" xfId="0" applyNumberFormat="1" applyFont="1" applyFill="1" applyAlignment="1">
      <alignment vertical="center"/>
    </xf>
    <xf numFmtId="3" fontId="10" fillId="3" borderId="0" xfId="0" applyNumberFormat="1" applyFont="1" applyFill="1" applyAlignment="1">
      <alignment vertical="center"/>
    </xf>
    <xf numFmtId="3" fontId="44" fillId="3" borderId="0" xfId="0" applyNumberFormat="1" applyFont="1" applyFill="1" applyAlignment="1">
      <alignment vertical="center"/>
    </xf>
    <xf numFmtId="3" fontId="45" fillId="3" borderId="0" xfId="0" applyNumberFormat="1" applyFont="1" applyFill="1" applyAlignment="1">
      <alignment vertical="center"/>
    </xf>
    <xf numFmtId="3" fontId="46" fillId="3" borderId="0" xfId="0" applyNumberFormat="1" applyFont="1" applyFill="1" applyAlignment="1">
      <alignment vertical="center"/>
    </xf>
    <xf numFmtId="3" fontId="33" fillId="3" borderId="0" xfId="0" applyNumberFormat="1" applyFont="1" applyFill="1" applyAlignment="1">
      <alignment vertical="center"/>
    </xf>
    <xf numFmtId="3" fontId="43" fillId="3" borderId="0" xfId="2" applyNumberFormat="1" applyFont="1" applyFill="1" applyAlignment="1">
      <alignment horizontal="center" vertical="center"/>
    </xf>
    <xf numFmtId="3" fontId="42" fillId="3" borderId="0" xfId="2" applyNumberFormat="1" applyFont="1" applyFill="1" applyAlignment="1">
      <alignment vertical="center"/>
    </xf>
    <xf numFmtId="3" fontId="34" fillId="3" borderId="8" xfId="0" applyNumberFormat="1" applyFont="1" applyFill="1" applyBorder="1" applyAlignment="1">
      <alignment horizontal="left" vertical="center" wrapText="1"/>
    </xf>
    <xf numFmtId="3" fontId="23" fillId="3" borderId="8" xfId="0" applyNumberFormat="1" applyFont="1" applyFill="1" applyBorder="1" applyAlignment="1">
      <alignment horizontal="right" vertical="center"/>
    </xf>
    <xf numFmtId="3" fontId="23" fillId="3" borderId="27" xfId="0" applyNumberFormat="1" applyFont="1" applyFill="1" applyBorder="1" applyAlignment="1">
      <alignment horizontal="right" vertical="center"/>
    </xf>
    <xf numFmtId="3" fontId="34" fillId="3" borderId="24" xfId="0" applyNumberFormat="1" applyFont="1" applyFill="1" applyBorder="1" applyAlignment="1">
      <alignment vertical="center" wrapText="1"/>
    </xf>
    <xf numFmtId="3" fontId="21" fillId="3" borderId="1" xfId="0" applyNumberFormat="1" applyFont="1" applyFill="1" applyBorder="1" applyAlignment="1">
      <alignment horizontal="center" vertical="center"/>
    </xf>
    <xf numFmtId="2" fontId="23" fillId="3" borderId="26" xfId="0" applyNumberFormat="1" applyFont="1" applyFill="1" applyBorder="1" applyAlignment="1">
      <alignment wrapText="1"/>
    </xf>
    <xf numFmtId="3" fontId="23" fillId="3" borderId="27" xfId="0" applyNumberFormat="1" applyFont="1" applyFill="1" applyBorder="1" applyAlignment="1">
      <alignment vertical="center" wrapText="1"/>
    </xf>
    <xf numFmtId="3" fontId="23" fillId="3" borderId="26" xfId="0" applyNumberFormat="1" applyFont="1" applyFill="1" applyBorder="1" applyAlignment="1">
      <alignment horizontal="left" vertical="center" wrapText="1"/>
    </xf>
    <xf numFmtId="3" fontId="23" fillId="3" borderId="56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 vertical="center" shrinkToFit="1"/>
    </xf>
    <xf numFmtId="0" fontId="24" fillId="0" borderId="1" xfId="0" applyFont="1" applyBorder="1" applyAlignment="1">
      <alignment horizontal="center" vertical="center" shrinkToFit="1"/>
    </xf>
    <xf numFmtId="3" fontId="23" fillId="0" borderId="37" xfId="0" applyNumberFormat="1" applyFont="1" applyBorder="1" applyAlignment="1">
      <alignment horizontal="right" vertical="center" shrinkToFit="1"/>
    </xf>
    <xf numFmtId="3" fontId="24" fillId="0" borderId="38" xfId="0" applyNumberFormat="1" applyFont="1" applyBorder="1" applyAlignment="1">
      <alignment horizontal="right" vertical="center" shrinkToFit="1"/>
    </xf>
    <xf numFmtId="3" fontId="23" fillId="0" borderId="11" xfId="0" applyNumberFormat="1" applyFont="1" applyBorder="1" applyAlignment="1">
      <alignment horizontal="justify" vertical="center" shrinkToFit="1"/>
    </xf>
    <xf numFmtId="3" fontId="23" fillId="0" borderId="39" xfId="0" applyNumberFormat="1" applyFont="1" applyBorder="1" applyAlignment="1">
      <alignment horizontal="right" vertical="center" shrinkToFit="1"/>
    </xf>
    <xf numFmtId="3" fontId="23" fillId="0" borderId="23" xfId="0" applyNumberFormat="1" applyFont="1" applyBorder="1" applyAlignment="1">
      <alignment horizontal="right" shrinkToFit="1"/>
    </xf>
    <xf numFmtId="3" fontId="24" fillId="0" borderId="40" xfId="0" applyNumberFormat="1" applyFont="1" applyBorder="1" applyAlignment="1">
      <alignment horizontal="right" shrinkToFit="1"/>
    </xf>
    <xf numFmtId="3" fontId="23" fillId="0" borderId="11" xfId="0" applyNumberFormat="1" applyFont="1" applyBorder="1" applyAlignment="1">
      <alignment horizontal="right" shrinkToFit="1"/>
    </xf>
    <xf numFmtId="3" fontId="24" fillId="0" borderId="41" xfId="0" applyNumberFormat="1" applyFont="1" applyBorder="1" applyAlignment="1">
      <alignment horizontal="right" shrinkToFit="1"/>
    </xf>
    <xf numFmtId="3" fontId="24" fillId="0" borderId="42" xfId="0" applyNumberFormat="1" applyFont="1" applyBorder="1" applyAlignment="1">
      <alignment horizontal="right" shrinkToFit="1"/>
    </xf>
    <xf numFmtId="3" fontId="24" fillId="0" borderId="41" xfId="0" applyNumberFormat="1" applyFont="1" applyBorder="1" applyAlignment="1">
      <alignment horizontal="right" vertical="center" shrinkToFit="1"/>
    </xf>
    <xf numFmtId="3" fontId="24" fillId="0" borderId="42" xfId="0" applyNumberFormat="1" applyFont="1" applyBorder="1" applyAlignment="1">
      <alignment horizontal="right" vertical="center" shrinkToFit="1"/>
    </xf>
    <xf numFmtId="3" fontId="24" fillId="0" borderId="43" xfId="0" applyNumberFormat="1" applyFont="1" applyBorder="1" applyAlignment="1">
      <alignment horizontal="right" vertical="center" shrinkToFit="1"/>
    </xf>
    <xf numFmtId="3" fontId="24" fillId="0" borderId="3" xfId="0" applyNumberFormat="1" applyFont="1" applyBorder="1" applyAlignment="1">
      <alignment horizontal="right" vertical="center" shrinkToFit="1"/>
    </xf>
    <xf numFmtId="3" fontId="24" fillId="0" borderId="9" xfId="0" applyNumberFormat="1" applyFont="1" applyBorder="1" applyAlignment="1">
      <alignment horizontal="right" vertical="center" shrinkToFit="1"/>
    </xf>
    <xf numFmtId="0" fontId="23" fillId="0" borderId="5" xfId="0" applyFont="1" applyBorder="1" applyAlignment="1">
      <alignment horizontal="justify" shrinkToFit="1"/>
    </xf>
    <xf numFmtId="0" fontId="23" fillId="0" borderId="36" xfId="0" applyFont="1" applyBorder="1" applyAlignment="1">
      <alignment horizontal="center" shrinkToFit="1"/>
    </xf>
    <xf numFmtId="0" fontId="23" fillId="0" borderId="9" xfId="0" applyFont="1" applyBorder="1" applyAlignment="1">
      <alignment horizontal="justify" vertical="center" shrinkToFit="1"/>
    </xf>
    <xf numFmtId="0" fontId="23" fillId="2" borderId="9" xfId="0" applyFont="1" applyFill="1" applyBorder="1" applyAlignment="1">
      <alignment horizontal="justify" vertical="center" shrinkToFit="1"/>
    </xf>
    <xf numFmtId="0" fontId="23" fillId="0" borderId="46" xfId="0" applyFont="1" applyBorder="1" applyAlignment="1">
      <alignment horizontal="center" vertical="center" shrinkToFit="1"/>
    </xf>
    <xf numFmtId="3" fontId="24" fillId="0" borderId="43" xfId="0" applyNumberFormat="1" applyFont="1" applyBorder="1" applyAlignment="1">
      <alignment horizontal="right" shrinkToFit="1"/>
    </xf>
    <xf numFmtId="3" fontId="24" fillId="0" borderId="3" xfId="0" applyNumberFormat="1" applyFont="1" applyBorder="1" applyAlignment="1">
      <alignment horizontal="right" shrinkToFit="1"/>
    </xf>
    <xf numFmtId="3" fontId="24" fillId="0" borderId="44" xfId="0" applyNumberFormat="1" applyFont="1" applyBorder="1" applyAlignment="1">
      <alignment horizontal="right" shrinkToFit="1"/>
    </xf>
    <xf numFmtId="3" fontId="24" fillId="0" borderId="11" xfId="0" applyNumberFormat="1" applyFont="1" applyBorder="1" applyAlignment="1">
      <alignment horizontal="right" shrinkToFit="1"/>
    </xf>
    <xf numFmtId="3" fontId="24" fillId="0" borderId="39" xfId="0" applyNumberFormat="1" applyFont="1" applyBorder="1" applyAlignment="1">
      <alignment horizontal="right" shrinkToFit="1"/>
    </xf>
    <xf numFmtId="3" fontId="24" fillId="0" borderId="47" xfId="0" applyNumberFormat="1" applyFont="1" applyBorder="1" applyAlignment="1">
      <alignment horizontal="right" shrinkToFit="1"/>
    </xf>
    <xf numFmtId="3" fontId="24" fillId="0" borderId="48" xfId="0" applyNumberFormat="1" applyFont="1" applyBorder="1" applyAlignment="1">
      <alignment horizontal="right" shrinkToFit="1"/>
    </xf>
    <xf numFmtId="3" fontId="24" fillId="0" borderId="49" xfId="0" applyNumberFormat="1" applyFont="1" applyBorder="1" applyAlignment="1">
      <alignment horizontal="right" vertical="center" shrinkToFit="1"/>
    </xf>
    <xf numFmtId="3" fontId="24" fillId="0" borderId="50" xfId="0" applyNumberFormat="1" applyFont="1" applyBorder="1" applyAlignment="1">
      <alignment horizontal="right" vertical="center" shrinkToFit="1"/>
    </xf>
    <xf numFmtId="0" fontId="23" fillId="0" borderId="59" xfId="0" applyFont="1" applyBorder="1" applyAlignment="1">
      <alignment horizontal="center" vertical="center" shrinkToFit="1"/>
    </xf>
    <xf numFmtId="0" fontId="23" fillId="0" borderId="25" xfId="0" applyFont="1" applyBorder="1" applyAlignment="1">
      <alignment vertical="center" wrapText="1"/>
    </xf>
    <xf numFmtId="3" fontId="24" fillId="0" borderId="40" xfId="0" applyNumberFormat="1" applyFont="1" applyBorder="1" applyAlignment="1">
      <alignment horizontal="right" vertical="center" shrinkToFit="1"/>
    </xf>
    <xf numFmtId="0" fontId="23" fillId="0" borderId="61" xfId="0" applyFont="1" applyBorder="1" applyAlignment="1">
      <alignment horizontal="center" vertical="center" shrinkToFit="1"/>
    </xf>
    <xf numFmtId="0" fontId="23" fillId="0" borderId="51" xfId="0" applyFont="1" applyBorder="1" applyAlignment="1">
      <alignment vertical="center" wrapText="1"/>
    </xf>
    <xf numFmtId="3" fontId="24" fillId="0" borderId="39" xfId="0" applyNumberFormat="1" applyFont="1" applyBorder="1" applyAlignment="1">
      <alignment horizontal="right" vertical="center" shrinkToFit="1"/>
    </xf>
    <xf numFmtId="0" fontId="23" fillId="0" borderId="51" xfId="0" quotePrefix="1" applyFont="1" applyBorder="1" applyAlignment="1">
      <alignment horizontal="left" vertical="center" wrapText="1"/>
    </xf>
    <xf numFmtId="3" fontId="24" fillId="0" borderId="63" xfId="0" applyNumberFormat="1" applyFont="1" applyBorder="1" applyAlignment="1">
      <alignment horizontal="right" vertical="center"/>
    </xf>
    <xf numFmtId="3" fontId="24" fillId="0" borderId="43" xfId="0" applyNumberFormat="1" applyFont="1" applyBorder="1" applyAlignment="1">
      <alignment horizontal="right" vertical="center"/>
    </xf>
    <xf numFmtId="0" fontId="23" fillId="0" borderId="4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52" xfId="0" applyFont="1" applyBorder="1" applyAlignment="1">
      <alignment vertical="center" shrinkToFit="1"/>
    </xf>
    <xf numFmtId="0" fontId="23" fillId="0" borderId="53" xfId="0" applyFont="1" applyBorder="1" applyAlignment="1">
      <alignment vertical="center" shrinkToFit="1"/>
    </xf>
    <xf numFmtId="0" fontId="23" fillId="0" borderId="36" xfId="0" applyFont="1" applyBorder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23" fillId="0" borderId="22" xfId="0" applyFont="1" applyBorder="1" applyAlignment="1">
      <alignment vertical="center" shrinkToFit="1"/>
    </xf>
    <xf numFmtId="0" fontId="23" fillId="0" borderId="18" xfId="0" applyFont="1" applyBorder="1" applyAlignment="1">
      <alignment horizontal="right" vertical="center" shrinkToFit="1"/>
    </xf>
    <xf numFmtId="0" fontId="23" fillId="0" borderId="31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24" fillId="0" borderId="64" xfId="0" applyFont="1" applyBorder="1" applyAlignment="1">
      <alignment horizontal="center" vertical="center"/>
    </xf>
    <xf numFmtId="0" fontId="48" fillId="0" borderId="79" xfId="0" applyFont="1" applyBorder="1" applyAlignment="1">
      <alignment horizontal="center" vertical="center"/>
    </xf>
    <xf numFmtId="0" fontId="23" fillId="3" borderId="65" xfId="0" applyFont="1" applyFill="1" applyBorder="1" applyAlignment="1">
      <alignment horizontal="center" vertical="center" shrinkToFit="1"/>
    </xf>
    <xf numFmtId="0" fontId="23" fillId="3" borderId="25" xfId="0" applyFont="1" applyFill="1" applyBorder="1" applyAlignment="1">
      <alignment vertical="center" shrinkToFit="1"/>
    </xf>
    <xf numFmtId="3" fontId="24" fillId="3" borderId="40" xfId="0" applyNumberFormat="1" applyFont="1" applyFill="1" applyBorder="1" applyAlignment="1">
      <alignment horizontal="right" vertical="center" shrinkToFit="1"/>
    </xf>
    <xf numFmtId="0" fontId="23" fillId="3" borderId="61" xfId="0" applyFont="1" applyFill="1" applyBorder="1" applyAlignment="1">
      <alignment horizontal="center" vertical="center" shrinkToFit="1"/>
    </xf>
    <xf numFmtId="3" fontId="24" fillId="3" borderId="39" xfId="0" applyNumberFormat="1" applyFont="1" applyFill="1" applyBorder="1" applyAlignment="1">
      <alignment horizontal="right" vertical="center" shrinkToFit="1"/>
    </xf>
    <xf numFmtId="0" fontId="23" fillId="3" borderId="51" xfId="0" applyFont="1" applyFill="1" applyBorder="1" applyAlignment="1">
      <alignment vertical="center" shrinkToFit="1"/>
    </xf>
    <xf numFmtId="0" fontId="23" fillId="3" borderId="66" xfId="0" applyFont="1" applyFill="1" applyBorder="1" applyAlignment="1">
      <alignment horizontal="center" vertical="center" shrinkToFit="1"/>
    </xf>
    <xf numFmtId="0" fontId="23" fillId="3" borderId="55" xfId="0" applyFont="1" applyFill="1" applyBorder="1" applyAlignment="1">
      <alignment vertical="center" wrapText="1"/>
    </xf>
    <xf numFmtId="0" fontId="23" fillId="3" borderId="56" xfId="0" applyFont="1" applyFill="1" applyBorder="1" applyAlignment="1">
      <alignment vertical="center" shrinkToFit="1"/>
    </xf>
    <xf numFmtId="0" fontId="23" fillId="3" borderId="68" xfId="0" applyFont="1" applyFill="1" applyBorder="1" applyAlignment="1">
      <alignment horizontal="center" vertical="center" shrinkToFit="1"/>
    </xf>
    <xf numFmtId="0" fontId="23" fillId="3" borderId="57" xfId="0" applyFont="1" applyFill="1" applyBorder="1" applyAlignment="1">
      <alignment vertical="center" shrinkToFit="1"/>
    </xf>
    <xf numFmtId="3" fontId="24" fillId="3" borderId="46" xfId="0" applyNumberFormat="1" applyFont="1" applyFill="1" applyBorder="1" applyAlignment="1">
      <alignment horizontal="right" vertical="center" shrinkToFit="1"/>
    </xf>
    <xf numFmtId="3" fontId="24" fillId="3" borderId="69" xfId="0" applyNumberFormat="1" applyFont="1" applyFill="1" applyBorder="1" applyAlignment="1">
      <alignment horizontal="right" vertical="center" shrinkToFit="1"/>
    </xf>
    <xf numFmtId="3" fontId="24" fillId="3" borderId="70" xfId="0" applyNumberFormat="1" applyFont="1" applyFill="1" applyBorder="1" applyAlignment="1">
      <alignment horizontal="right" vertical="center" shrinkToFit="1"/>
    </xf>
    <xf numFmtId="3" fontId="49" fillId="0" borderId="0" xfId="2" applyNumberFormat="1" applyFont="1" applyAlignment="1">
      <alignment vertical="center"/>
    </xf>
    <xf numFmtId="0" fontId="15" fillId="0" borderId="18" xfId="0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3" fontId="23" fillId="0" borderId="23" xfId="0" applyNumberFormat="1" applyFont="1" applyBorder="1" applyAlignment="1">
      <alignment horizontal="right" vertical="center" shrinkToFit="1"/>
    </xf>
    <xf numFmtId="2" fontId="24" fillId="0" borderId="2" xfId="0" applyNumberFormat="1" applyFont="1" applyBorder="1" applyAlignment="1">
      <alignment horizontal="left" vertical="center" wrapText="1" shrinkToFit="1"/>
    </xf>
    <xf numFmtId="2" fontId="24" fillId="0" borderId="11" xfId="0" applyNumberFormat="1" applyFont="1" applyBorder="1" applyAlignment="1">
      <alignment horizontal="center" shrinkToFit="1"/>
    </xf>
    <xf numFmtId="3" fontId="32" fillId="0" borderId="0" xfId="0" applyNumberFormat="1" applyFont="1"/>
    <xf numFmtId="0" fontId="32" fillId="0" borderId="0" xfId="0" applyFont="1" applyAlignment="1">
      <alignment wrapText="1"/>
    </xf>
    <xf numFmtId="3" fontId="12" fillId="0" borderId="15" xfId="2" applyNumberFormat="1" applyFont="1" applyBorder="1" applyAlignment="1">
      <alignment vertical="center"/>
    </xf>
    <xf numFmtId="3" fontId="50" fillId="3" borderId="0" xfId="0" applyNumberFormat="1" applyFont="1" applyFill="1" applyAlignment="1">
      <alignment vertical="center"/>
    </xf>
    <xf numFmtId="0" fontId="0" fillId="0" borderId="22" xfId="0" applyBorder="1"/>
    <xf numFmtId="0" fontId="1" fillId="0" borderId="22" xfId="0" applyFont="1" applyBorder="1"/>
    <xf numFmtId="0" fontId="24" fillId="0" borderId="91" xfId="0" applyFont="1" applyBorder="1" applyAlignment="1">
      <alignment horizontal="center" vertical="center" wrapText="1"/>
    </xf>
    <xf numFmtId="1" fontId="21" fillId="0" borderId="93" xfId="2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center" wrapText="1"/>
    </xf>
    <xf numFmtId="3" fontId="24" fillId="0" borderId="15" xfId="0" quotePrefix="1" applyNumberFormat="1" applyFont="1" applyBorder="1" applyAlignment="1">
      <alignment horizontal="center" vertical="center" wrapText="1"/>
    </xf>
    <xf numFmtId="3" fontId="23" fillId="0" borderId="15" xfId="0" applyNumberFormat="1" applyFont="1" applyBorder="1" applyAlignment="1">
      <alignment horizontal="center" vertical="center" wrapText="1"/>
    </xf>
    <xf numFmtId="3" fontId="24" fillId="0" borderId="84" xfId="0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left" vertical="center" wrapText="1" indent="1"/>
    </xf>
    <xf numFmtId="3" fontId="24" fillId="0" borderId="93" xfId="0" applyNumberFormat="1" applyFont="1" applyBorder="1" applyAlignment="1">
      <alignment horizontal="center" vertical="center" wrapText="1"/>
    </xf>
    <xf numFmtId="0" fontId="12" fillId="0" borderId="91" xfId="0" applyFont="1" applyBorder="1" applyAlignment="1">
      <alignment horizontal="center" vertical="center" wrapText="1"/>
    </xf>
    <xf numFmtId="0" fontId="23" fillId="0" borderId="91" xfId="0" applyFont="1" applyBorder="1" applyAlignment="1">
      <alignment horizontal="center" vertical="center" wrapText="1"/>
    </xf>
    <xf numFmtId="3" fontId="0" fillId="3" borderId="0" xfId="0" applyNumberFormat="1" applyFill="1"/>
    <xf numFmtId="2" fontId="24" fillId="0" borderId="10" xfId="0" applyNumberFormat="1" applyFont="1" applyBorder="1" applyAlignment="1">
      <alignment vertical="center" wrapText="1"/>
    </xf>
    <xf numFmtId="2" fontId="23" fillId="0" borderId="102" xfId="0" applyNumberFormat="1" applyFont="1" applyBorder="1" applyAlignment="1">
      <alignment vertical="center" wrapText="1"/>
    </xf>
    <xf numFmtId="2" fontId="24" fillId="0" borderId="125" xfId="0" applyNumberFormat="1" applyFont="1" applyBorder="1" applyAlignment="1">
      <alignment horizontal="left" vertical="center" wrapText="1" shrinkToFit="1"/>
    </xf>
    <xf numFmtId="3" fontId="24" fillId="3" borderId="28" xfId="0" applyNumberFormat="1" applyFont="1" applyFill="1" applyBorder="1" applyAlignment="1">
      <alignment horizontal="right" vertical="center"/>
    </xf>
    <xf numFmtId="3" fontId="15" fillId="0" borderId="0" xfId="0" applyNumberFormat="1" applyFont="1" applyAlignment="1">
      <alignment vertical="center" shrinkToFit="1"/>
    </xf>
    <xf numFmtId="165" fontId="15" fillId="0" borderId="0" xfId="0" applyNumberFormat="1" applyFont="1" applyAlignment="1">
      <alignment vertical="center" shrinkToFit="1"/>
    </xf>
    <xf numFmtId="3" fontId="18" fillId="0" borderId="0" xfId="0" applyNumberFormat="1" applyFont="1"/>
    <xf numFmtId="3" fontId="52" fillId="3" borderId="0" xfId="0" applyNumberFormat="1" applyFont="1" applyFill="1" applyAlignment="1">
      <alignment vertical="center"/>
    </xf>
    <xf numFmtId="165" fontId="31" fillId="0" borderId="0" xfId="0" applyNumberFormat="1" applyFont="1" applyAlignment="1">
      <alignment vertical="center" shrinkToFit="1"/>
    </xf>
    <xf numFmtId="165" fontId="16" fillId="0" borderId="0" xfId="0" applyNumberFormat="1" applyFont="1" applyAlignment="1">
      <alignment horizontal="justify" vertical="center" shrinkToFit="1"/>
    </xf>
    <xf numFmtId="3" fontId="53" fillId="6" borderId="115" xfId="2" applyNumberFormat="1" applyFont="1" applyFill="1" applyBorder="1" applyAlignment="1">
      <alignment horizontal="center" vertical="center"/>
    </xf>
    <xf numFmtId="3" fontId="51" fillId="6" borderId="115" xfId="2" applyNumberFormat="1" applyFont="1" applyFill="1" applyBorder="1" applyAlignment="1">
      <alignment vertical="center"/>
    </xf>
    <xf numFmtId="3" fontId="53" fillId="6" borderId="109" xfId="2" applyNumberFormat="1" applyFont="1" applyFill="1" applyBorder="1" applyAlignment="1">
      <alignment horizontal="center" vertical="center"/>
    </xf>
    <xf numFmtId="3" fontId="51" fillId="6" borderId="116" xfId="2" applyNumberFormat="1" applyFont="1" applyFill="1" applyBorder="1" applyAlignment="1">
      <alignment vertical="center"/>
    </xf>
    <xf numFmtId="3" fontId="52" fillId="5" borderId="1" xfId="2" applyNumberFormat="1" applyFont="1" applyFill="1" applyBorder="1" applyAlignment="1">
      <alignment horizontal="center" vertical="center"/>
    </xf>
    <xf numFmtId="3" fontId="54" fillId="9" borderId="94" xfId="2" applyNumberFormat="1" applyFont="1" applyFill="1" applyBorder="1" applyAlignment="1">
      <alignment horizontal="center" vertical="center"/>
    </xf>
    <xf numFmtId="1" fontId="54" fillId="3" borderId="13" xfId="2" applyNumberFormat="1" applyFont="1" applyFill="1" applyBorder="1" applyAlignment="1">
      <alignment vertical="center"/>
    </xf>
    <xf numFmtId="3" fontId="55" fillId="0" borderId="0" xfId="2" applyNumberFormat="1" applyFont="1" applyAlignment="1">
      <alignment horizontal="center" vertical="center"/>
    </xf>
    <xf numFmtId="3" fontId="56" fillId="0" borderId="0" xfId="2" applyNumberFormat="1" applyFont="1" applyAlignment="1">
      <alignment vertical="center"/>
    </xf>
    <xf numFmtId="1" fontId="11" fillId="6" borderId="9" xfId="2" applyNumberFormat="1" applyFont="1" applyFill="1" applyBorder="1" applyAlignment="1">
      <alignment horizontal="right" vertical="center"/>
    </xf>
    <xf numFmtId="1" fontId="11" fillId="6" borderId="76" xfId="2" applyNumberFormat="1" applyFont="1" applyFill="1" applyBorder="1" applyAlignment="1">
      <alignment horizontal="right" vertical="center"/>
    </xf>
    <xf numFmtId="0" fontId="57" fillId="0" borderId="0" xfId="0" applyFont="1" applyAlignment="1">
      <alignment horizontal="left" vertical="top" wrapText="1"/>
    </xf>
    <xf numFmtId="3" fontId="57" fillId="0" borderId="0" xfId="0" applyNumberFormat="1" applyFont="1" applyAlignment="1">
      <alignment horizontal="right" vertical="top" wrapText="1"/>
    </xf>
    <xf numFmtId="0" fontId="58" fillId="0" borderId="0" xfId="0" applyFont="1" applyAlignment="1">
      <alignment horizontal="left" vertical="top" wrapText="1"/>
    </xf>
    <xf numFmtId="3" fontId="58" fillId="0" borderId="0" xfId="0" applyNumberFormat="1" applyFont="1" applyAlignment="1">
      <alignment horizontal="right" vertical="top" wrapText="1"/>
    </xf>
    <xf numFmtId="1" fontId="59" fillId="3" borderId="15" xfId="2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 shrinkToFit="1"/>
    </xf>
    <xf numFmtId="164" fontId="14" fillId="0" borderId="0" xfId="0" applyNumberFormat="1" applyFont="1" applyAlignment="1">
      <alignment vertical="center" shrinkToFit="1"/>
    </xf>
    <xf numFmtId="1" fontId="60" fillId="3" borderId="90" xfId="2" applyNumberFormat="1" applyFont="1" applyFill="1" applyBorder="1" applyAlignment="1">
      <alignment horizontal="center" vertical="center" wrapText="1"/>
    </xf>
    <xf numFmtId="1" fontId="60" fillId="3" borderId="93" xfId="2" applyNumberFormat="1" applyFont="1" applyFill="1" applyBorder="1" applyAlignment="1">
      <alignment horizontal="center" vertical="center" wrapText="1"/>
    </xf>
    <xf numFmtId="1" fontId="60" fillId="3" borderId="32" xfId="2" applyNumberFormat="1" applyFont="1" applyFill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right" vertical="center" shrinkToFit="1"/>
    </xf>
    <xf numFmtId="0" fontId="12" fillId="0" borderId="0" xfId="0" applyFont="1" applyAlignment="1">
      <alignment horizontal="center" vertical="center" shrinkToFit="1"/>
    </xf>
    <xf numFmtId="49" fontId="12" fillId="0" borderId="0" xfId="0" applyNumberFormat="1" applyFont="1" applyAlignment="1">
      <alignment vertical="center" shrinkToFit="1"/>
    </xf>
    <xf numFmtId="3" fontId="53" fillId="0" borderId="97" xfId="2" applyNumberFormat="1" applyFont="1" applyBorder="1" applyAlignment="1">
      <alignment horizontal="center" vertical="center"/>
    </xf>
    <xf numFmtId="3" fontId="23" fillId="3" borderId="0" xfId="0" applyNumberFormat="1" applyFont="1" applyFill="1" applyAlignment="1">
      <alignment horizontal="right" vertical="center"/>
    </xf>
    <xf numFmtId="3" fontId="24" fillId="3" borderId="0" xfId="0" applyNumberFormat="1" applyFont="1" applyFill="1" applyAlignment="1">
      <alignment horizontal="right" vertical="center"/>
    </xf>
    <xf numFmtId="3" fontId="18" fillId="3" borderId="76" xfId="2" applyNumberFormat="1" applyFont="1" applyFill="1" applyBorder="1" applyAlignment="1">
      <alignment horizontal="right" vertical="center"/>
    </xf>
    <xf numFmtId="3" fontId="19" fillId="3" borderId="76" xfId="2" applyNumberFormat="1" applyFont="1" applyFill="1" applyBorder="1" applyAlignment="1">
      <alignment horizontal="right" vertical="center"/>
    </xf>
    <xf numFmtId="3" fontId="19" fillId="3" borderId="76" xfId="2" applyNumberFormat="1" applyFont="1" applyFill="1" applyBorder="1" applyAlignment="1">
      <alignment vertical="center"/>
    </xf>
    <xf numFmtId="3" fontId="59" fillId="3" borderId="89" xfId="2" applyNumberFormat="1" applyFont="1" applyFill="1" applyBorder="1" applyAlignment="1">
      <alignment horizontal="center" vertical="center"/>
    </xf>
    <xf numFmtId="1" fontId="60" fillId="3" borderId="74" xfId="2" applyNumberFormat="1" applyFont="1" applyFill="1" applyBorder="1" applyAlignment="1">
      <alignment horizontal="right" vertical="center"/>
    </xf>
    <xf numFmtId="3" fontId="12" fillId="3" borderId="0" xfId="2" applyNumberFormat="1" applyFont="1" applyFill="1" applyAlignment="1">
      <alignment vertical="center"/>
    </xf>
    <xf numFmtId="3" fontId="61" fillId="0" borderId="0" xfId="2" applyNumberFormat="1" applyFont="1" applyAlignment="1">
      <alignment horizontal="right" vertical="center"/>
    </xf>
    <xf numFmtId="3" fontId="24" fillId="0" borderId="72" xfId="0" applyNumberFormat="1" applyFont="1" applyBorder="1" applyAlignment="1">
      <alignment horizontal="right" vertical="center" shrinkToFit="1"/>
    </xf>
    <xf numFmtId="0" fontId="30" fillId="0" borderId="15" xfId="0" applyFont="1" applyBorder="1"/>
    <xf numFmtId="49" fontId="12" fillId="3" borderId="15" xfId="0" applyNumberFormat="1" applyFont="1" applyFill="1" applyBorder="1" applyAlignment="1">
      <alignment horizontal="center" vertical="center"/>
    </xf>
    <xf numFmtId="3" fontId="23" fillId="3" borderId="15" xfId="0" applyNumberFormat="1" applyFont="1" applyFill="1" applyBorder="1" applyAlignment="1">
      <alignment horizontal="right" vertical="center"/>
    </xf>
    <xf numFmtId="3" fontId="21" fillId="3" borderId="15" xfId="0" applyNumberFormat="1" applyFont="1" applyFill="1" applyBorder="1" applyAlignment="1">
      <alignment horizontal="center" vertical="center"/>
    </xf>
    <xf numFmtId="3" fontId="56" fillId="3" borderId="0" xfId="0" applyNumberFormat="1" applyFont="1" applyFill="1" applyAlignment="1">
      <alignment horizontal="center" vertical="center"/>
    </xf>
    <xf numFmtId="3" fontId="56" fillId="0" borderId="0" xfId="0" applyNumberFormat="1" applyFont="1" applyAlignment="1">
      <alignment horizontal="center" vertical="center"/>
    </xf>
    <xf numFmtId="3" fontId="19" fillId="6" borderId="5" xfId="2" applyNumberFormat="1" applyFont="1" applyFill="1" applyBorder="1" applyAlignment="1">
      <alignment horizontal="left" vertical="center"/>
    </xf>
    <xf numFmtId="3" fontId="19" fillId="6" borderId="5" xfId="2" applyNumberFormat="1" applyFont="1" applyFill="1" applyBorder="1" applyAlignment="1">
      <alignment horizontal="center" vertical="center"/>
    </xf>
    <xf numFmtId="3" fontId="19" fillId="6" borderId="5" xfId="2" applyNumberFormat="1" applyFont="1" applyFill="1" applyBorder="1" applyAlignment="1">
      <alignment horizontal="center" vertical="center" wrapText="1"/>
    </xf>
    <xf numFmtId="4" fontId="19" fillId="6" borderId="21" xfId="2" applyNumberFormat="1" applyFont="1" applyFill="1" applyBorder="1" applyAlignment="1">
      <alignment horizontal="right" vertical="center"/>
    </xf>
    <xf numFmtId="3" fontId="62" fillId="6" borderId="76" xfId="2" applyNumberFormat="1" applyFont="1" applyFill="1" applyBorder="1" applyAlignment="1">
      <alignment horizontal="left" vertical="center" indent="2"/>
    </xf>
    <xf numFmtId="3" fontId="19" fillId="6" borderId="76" xfId="2" applyNumberFormat="1" applyFont="1" applyFill="1" applyBorder="1" applyAlignment="1">
      <alignment horizontal="center" vertical="center"/>
    </xf>
    <xf numFmtId="4" fontId="19" fillId="6" borderId="77" xfId="2" applyNumberFormat="1" applyFont="1" applyFill="1" applyBorder="1" applyAlignment="1">
      <alignment horizontal="right" vertical="center"/>
    </xf>
    <xf numFmtId="3" fontId="62" fillId="6" borderId="5" xfId="2" applyNumberFormat="1" applyFont="1" applyFill="1" applyBorder="1" applyAlignment="1">
      <alignment horizontal="left" vertical="center" indent="2"/>
    </xf>
    <xf numFmtId="3" fontId="41" fillId="6" borderId="5" xfId="0" applyNumberFormat="1" applyFont="1" applyFill="1" applyBorder="1" applyAlignment="1">
      <alignment horizontal="center" vertical="center" wrapText="1"/>
    </xf>
    <xf numFmtId="3" fontId="19" fillId="3" borderId="9" xfId="2" applyNumberFormat="1" applyFont="1" applyFill="1" applyBorder="1" applyAlignment="1">
      <alignment horizontal="center" vertical="center"/>
    </xf>
    <xf numFmtId="3" fontId="19" fillId="3" borderId="9" xfId="2" applyNumberFormat="1" applyFont="1" applyFill="1" applyBorder="1" applyAlignment="1">
      <alignment horizontal="center" vertical="center" wrapText="1"/>
    </xf>
    <xf numFmtId="3" fontId="64" fillId="3" borderId="9" xfId="0" applyNumberFormat="1" applyFont="1" applyFill="1" applyBorder="1" applyAlignment="1">
      <alignment horizontal="center" vertical="center" wrapText="1"/>
    </xf>
    <xf numFmtId="4" fontId="19" fillId="3" borderId="19" xfId="2" applyNumberFormat="1" applyFont="1" applyFill="1" applyBorder="1" applyAlignment="1">
      <alignment horizontal="right" vertical="center"/>
    </xf>
    <xf numFmtId="3" fontId="27" fillId="3" borderId="15" xfId="2" applyNumberFormat="1" applyFont="1" applyFill="1" applyBorder="1" applyAlignment="1">
      <alignment horizontal="left" vertical="center" indent="2"/>
    </xf>
    <xf numFmtId="3" fontId="19" fillId="3" borderId="15" xfId="2" applyNumberFormat="1" applyFont="1" applyFill="1" applyBorder="1" applyAlignment="1">
      <alignment horizontal="center" vertical="center"/>
    </xf>
    <xf numFmtId="3" fontId="19" fillId="3" borderId="15" xfId="2" applyNumberFormat="1" applyFont="1" applyFill="1" applyBorder="1" applyAlignment="1">
      <alignment horizontal="center" vertical="center" wrapText="1"/>
    </xf>
    <xf numFmtId="3" fontId="41" fillId="3" borderId="15" xfId="0" applyNumberFormat="1" applyFont="1" applyFill="1" applyBorder="1" applyAlignment="1">
      <alignment horizontal="center" vertical="center" wrapText="1"/>
    </xf>
    <xf numFmtId="4" fontId="19" fillId="3" borderId="84" xfId="2" applyNumberFormat="1" applyFont="1" applyFill="1" applyBorder="1" applyAlignment="1">
      <alignment horizontal="right" vertical="center"/>
    </xf>
    <xf numFmtId="3" fontId="33" fillId="3" borderId="15" xfId="2" applyNumberFormat="1" applyFont="1" applyFill="1" applyBorder="1" applyAlignment="1">
      <alignment horizontal="left" vertical="center" indent="1"/>
    </xf>
    <xf numFmtId="3" fontId="19" fillId="3" borderId="13" xfId="2" applyNumberFormat="1" applyFont="1" applyFill="1" applyBorder="1" applyAlignment="1">
      <alignment horizontal="center" vertical="center"/>
    </xf>
    <xf numFmtId="3" fontId="19" fillId="3" borderId="13" xfId="2" applyNumberFormat="1" applyFont="1" applyFill="1" applyBorder="1" applyAlignment="1">
      <alignment horizontal="center" vertical="center" wrapText="1"/>
    </xf>
    <xf numFmtId="3" fontId="41" fillId="3" borderId="13" xfId="0" applyNumberFormat="1" applyFont="1" applyFill="1" applyBorder="1" applyAlignment="1">
      <alignment horizontal="center" vertical="center" wrapText="1"/>
    </xf>
    <xf numFmtId="3" fontId="33" fillId="3" borderId="13" xfId="2" applyNumberFormat="1" applyFont="1" applyFill="1" applyBorder="1" applyAlignment="1">
      <alignment horizontal="left" vertical="center" indent="1"/>
    </xf>
    <xf numFmtId="3" fontId="63" fillId="3" borderId="15" xfId="2" applyNumberFormat="1" applyFont="1" applyFill="1" applyBorder="1" applyAlignment="1">
      <alignment horizontal="center" vertical="center"/>
    </xf>
    <xf numFmtId="3" fontId="63" fillId="3" borderId="15" xfId="2" applyNumberFormat="1" applyFont="1" applyFill="1" applyBorder="1" applyAlignment="1">
      <alignment horizontal="center" vertical="center" wrapText="1"/>
    </xf>
    <xf numFmtId="3" fontId="10" fillId="3" borderId="13" xfId="2" applyNumberFormat="1" applyFont="1" applyFill="1" applyBorder="1" applyAlignment="1">
      <alignment horizontal="left" vertical="center" wrapText="1"/>
    </xf>
    <xf numFmtId="4" fontId="19" fillId="3" borderId="20" xfId="2" applyNumberFormat="1" applyFont="1" applyFill="1" applyBorder="1" applyAlignment="1">
      <alignment horizontal="right" vertical="center"/>
    </xf>
    <xf numFmtId="3" fontId="18" fillId="3" borderId="15" xfId="2" applyNumberFormat="1" applyFont="1" applyFill="1" applyBorder="1" applyAlignment="1">
      <alignment horizontal="left" vertical="center" indent="1"/>
    </xf>
    <xf numFmtId="3" fontId="18" fillId="3" borderId="15" xfId="2" applyNumberFormat="1" applyFont="1" applyFill="1" applyBorder="1" applyAlignment="1">
      <alignment horizontal="center" vertical="center" wrapText="1"/>
    </xf>
    <xf numFmtId="3" fontId="19" fillId="3" borderId="5" xfId="2" applyNumberFormat="1" applyFont="1" applyFill="1" applyBorder="1" applyAlignment="1">
      <alignment horizontal="center" vertical="center"/>
    </xf>
    <xf numFmtId="4" fontId="19" fillId="3" borderId="87" xfId="2" applyNumberFormat="1" applyFont="1" applyFill="1" applyBorder="1" applyAlignment="1">
      <alignment horizontal="right" vertical="center"/>
    </xf>
    <xf numFmtId="3" fontId="62" fillId="3" borderId="15" xfId="2" applyNumberFormat="1" applyFont="1" applyFill="1" applyBorder="1" applyAlignment="1">
      <alignment horizontal="left" vertical="center" indent="2"/>
    </xf>
    <xf numFmtId="3" fontId="63" fillId="6" borderId="9" xfId="2" applyNumberFormat="1" applyFont="1" applyFill="1" applyBorder="1" applyAlignment="1">
      <alignment horizontal="left" vertical="center" indent="2"/>
    </xf>
    <xf numFmtId="3" fontId="19" fillId="6" borderId="9" xfId="2" applyNumberFormat="1" applyFont="1" applyFill="1" applyBorder="1" applyAlignment="1">
      <alignment horizontal="right" vertical="center"/>
    </xf>
    <xf numFmtId="3" fontId="19" fillId="6" borderId="9" xfId="2" applyNumberFormat="1" applyFont="1" applyFill="1" applyBorder="1" applyAlignment="1">
      <alignment vertical="center"/>
    </xf>
    <xf numFmtId="3" fontId="19" fillId="6" borderId="76" xfId="2" applyNumberFormat="1" applyFont="1" applyFill="1" applyBorder="1" applyAlignment="1">
      <alignment horizontal="right" vertical="center"/>
    </xf>
    <xf numFmtId="3" fontId="19" fillId="6" borderId="76" xfId="2" applyNumberFormat="1" applyFont="1" applyFill="1" applyBorder="1" applyAlignment="1">
      <alignment vertical="center"/>
    </xf>
    <xf numFmtId="4" fontId="19" fillId="6" borderId="20" xfId="2" applyNumberFormat="1" applyFont="1" applyFill="1" applyBorder="1" applyAlignment="1">
      <alignment horizontal="right" vertical="center"/>
    </xf>
    <xf numFmtId="3" fontId="63" fillId="6" borderId="76" xfId="2" applyNumberFormat="1" applyFont="1" applyFill="1" applyBorder="1" applyAlignment="1">
      <alignment horizontal="left" vertical="center" indent="2"/>
    </xf>
    <xf numFmtId="3" fontId="18" fillId="3" borderId="15" xfId="2" applyNumberFormat="1" applyFont="1" applyFill="1" applyBorder="1" applyAlignment="1">
      <alignment horizontal="right" vertical="center"/>
    </xf>
    <xf numFmtId="3" fontId="18" fillId="3" borderId="15" xfId="2" applyNumberFormat="1" applyFont="1" applyFill="1" applyBorder="1" applyAlignment="1">
      <alignment vertical="center"/>
    </xf>
    <xf numFmtId="3" fontId="19" fillId="3" borderId="15" xfId="2" applyNumberFormat="1" applyFont="1" applyFill="1" applyBorder="1" applyAlignment="1">
      <alignment horizontal="right" vertical="center"/>
    </xf>
    <xf numFmtId="3" fontId="19" fillId="3" borderId="15" xfId="2" applyNumberFormat="1" applyFont="1" applyFill="1" applyBorder="1" applyAlignment="1">
      <alignment vertical="center"/>
    </xf>
    <xf numFmtId="3" fontId="16" fillId="0" borderId="0" xfId="0" applyNumberFormat="1" applyFont="1" applyAlignment="1">
      <alignment horizontal="justify" vertical="center" shrinkToFit="1"/>
    </xf>
    <xf numFmtId="3" fontId="12" fillId="3" borderId="0" xfId="0" applyNumberFormat="1" applyFont="1" applyFill="1" applyAlignment="1">
      <alignment horizontal="center" vertical="center"/>
    </xf>
    <xf numFmtId="3" fontId="23" fillId="3" borderId="0" xfId="0" applyNumberFormat="1" applyFont="1" applyFill="1" applyAlignment="1">
      <alignment vertical="center"/>
    </xf>
    <xf numFmtId="3" fontId="23" fillId="3" borderId="0" xfId="0" applyNumberFormat="1" applyFont="1" applyFill="1" applyAlignment="1">
      <alignment horizontal="left" vertical="center"/>
    </xf>
    <xf numFmtId="3" fontId="12" fillId="3" borderId="18" xfId="0" applyNumberFormat="1" applyFont="1" applyFill="1" applyBorder="1" applyAlignment="1">
      <alignment horizontal="center" vertical="center"/>
    </xf>
    <xf numFmtId="3" fontId="23" fillId="3" borderId="18" xfId="0" applyNumberFormat="1" applyFont="1" applyFill="1" applyBorder="1" applyAlignment="1">
      <alignment vertical="center"/>
    </xf>
    <xf numFmtId="3" fontId="23" fillId="3" borderId="18" xfId="0" applyNumberFormat="1" applyFont="1" applyFill="1" applyBorder="1" applyAlignment="1">
      <alignment horizontal="left" vertical="center"/>
    </xf>
    <xf numFmtId="3" fontId="23" fillId="3" borderId="18" xfId="0" applyNumberFormat="1" applyFont="1" applyFill="1" applyBorder="1" applyAlignment="1">
      <alignment horizontal="right" vertical="center"/>
    </xf>
    <xf numFmtId="3" fontId="14" fillId="3" borderId="22" xfId="0" applyNumberFormat="1" applyFont="1" applyFill="1" applyBorder="1" applyAlignment="1">
      <alignment vertical="center"/>
    </xf>
    <xf numFmtId="3" fontId="14" fillId="3" borderId="18" xfId="0" applyNumberFormat="1" applyFont="1" applyFill="1" applyBorder="1" applyAlignment="1">
      <alignment vertical="center"/>
    </xf>
    <xf numFmtId="3" fontId="29" fillId="3" borderId="16" xfId="0" applyNumberFormat="1" applyFont="1" applyFill="1" applyBorder="1" applyAlignment="1">
      <alignment horizontal="center" vertical="center"/>
    </xf>
    <xf numFmtId="3" fontId="12" fillId="3" borderId="16" xfId="0" applyNumberFormat="1" applyFont="1" applyFill="1" applyBorder="1" applyAlignment="1">
      <alignment horizontal="center" vertical="center"/>
    </xf>
    <xf numFmtId="3" fontId="24" fillId="9" borderId="15" xfId="0" applyNumberFormat="1" applyFont="1" applyFill="1" applyBorder="1" applyAlignment="1">
      <alignment horizontal="right" vertical="center"/>
    </xf>
    <xf numFmtId="3" fontId="21" fillId="9" borderId="15" xfId="0" applyNumberFormat="1" applyFont="1" applyFill="1" applyBorder="1" applyAlignment="1">
      <alignment horizontal="left" vertical="center"/>
    </xf>
    <xf numFmtId="3" fontId="27" fillId="9" borderId="15" xfId="2" applyNumberFormat="1" applyFont="1" applyFill="1" applyBorder="1" applyAlignment="1">
      <alignment horizontal="left" vertical="center" indent="2"/>
    </xf>
    <xf numFmtId="3" fontId="62" fillId="9" borderId="15" xfId="2" applyNumberFormat="1" applyFont="1" applyFill="1" applyBorder="1" applyAlignment="1">
      <alignment horizontal="left" vertical="center" indent="2"/>
    </xf>
    <xf numFmtId="3" fontId="23" fillId="3" borderId="15" xfId="0" applyNumberFormat="1" applyFont="1" applyFill="1" applyBorder="1" applyAlignment="1">
      <alignment vertical="center"/>
    </xf>
    <xf numFmtId="3" fontId="29" fillId="3" borderId="15" xfId="0" applyNumberFormat="1" applyFont="1" applyFill="1" applyBorder="1" applyAlignment="1">
      <alignment horizontal="center" vertical="center"/>
    </xf>
    <xf numFmtId="3" fontId="47" fillId="3" borderId="15" xfId="0" applyNumberFormat="1" applyFont="1" applyFill="1" applyBorder="1" applyAlignment="1">
      <alignment horizontal="center" vertical="center"/>
    </xf>
    <xf numFmtId="3" fontId="12" fillId="7" borderId="15" xfId="0" applyNumberFormat="1" applyFont="1" applyFill="1" applyBorder="1" applyAlignment="1">
      <alignment horizontal="center" vertical="center"/>
    </xf>
    <xf numFmtId="3" fontId="23" fillId="7" borderId="15" xfId="0" applyNumberFormat="1" applyFont="1" applyFill="1" applyBorder="1" applyAlignment="1">
      <alignment horizontal="center" vertical="center"/>
    </xf>
    <xf numFmtId="3" fontId="23" fillId="7" borderId="15" xfId="0" applyNumberFormat="1" applyFont="1" applyFill="1" applyBorder="1" applyAlignment="1">
      <alignment horizontal="left" vertical="center"/>
    </xf>
    <xf numFmtId="3" fontId="23" fillId="7" borderId="15" xfId="0" applyNumberFormat="1" applyFont="1" applyFill="1" applyBorder="1" applyAlignment="1">
      <alignment horizontal="right" vertical="center"/>
    </xf>
    <xf numFmtId="3" fontId="27" fillId="7" borderId="15" xfId="2" applyNumberFormat="1" applyFont="1" applyFill="1" applyBorder="1" applyAlignment="1">
      <alignment horizontal="left" vertical="center" indent="2"/>
    </xf>
    <xf numFmtId="3" fontId="62" fillId="7" borderId="15" xfId="2" applyNumberFormat="1" applyFont="1" applyFill="1" applyBorder="1" applyAlignment="1">
      <alignment horizontal="left" vertical="center" indent="2"/>
    </xf>
    <xf numFmtId="3" fontId="23" fillId="3" borderId="15" xfId="0" applyNumberFormat="1" applyFont="1" applyFill="1" applyBorder="1" applyAlignment="1">
      <alignment horizontal="center" vertical="center"/>
    </xf>
    <xf numFmtId="3" fontId="23" fillId="7" borderId="15" xfId="0" applyNumberFormat="1" applyFont="1" applyFill="1" applyBorder="1" applyAlignment="1">
      <alignment vertical="center"/>
    </xf>
    <xf numFmtId="3" fontId="23" fillId="9" borderId="15" xfId="0" applyNumberFormat="1" applyFont="1" applyFill="1" applyBorder="1" applyAlignment="1">
      <alignment horizontal="right" vertical="center"/>
    </xf>
    <xf numFmtId="3" fontId="34" fillId="7" borderId="15" xfId="0" applyNumberFormat="1" applyFont="1" applyFill="1" applyBorder="1" applyAlignment="1">
      <alignment horizontal="center" vertical="center"/>
    </xf>
    <xf numFmtId="3" fontId="34" fillId="7" borderId="15" xfId="0" applyNumberFormat="1" applyFont="1" applyFill="1" applyBorder="1" applyAlignment="1">
      <alignment vertical="center"/>
    </xf>
    <xf numFmtId="3" fontId="24" fillId="7" borderId="15" xfId="0" applyNumberFormat="1" applyFont="1" applyFill="1" applyBorder="1" applyAlignment="1">
      <alignment horizontal="right" vertical="center"/>
    </xf>
    <xf numFmtId="3" fontId="24" fillId="3" borderId="15" xfId="0" applyNumberFormat="1" applyFont="1" applyFill="1" applyBorder="1" applyAlignment="1">
      <alignment horizontal="right" vertical="center"/>
    </xf>
    <xf numFmtId="3" fontId="34" fillId="7" borderId="15" xfId="0" applyNumberFormat="1" applyFont="1" applyFill="1" applyBorder="1" applyAlignment="1">
      <alignment vertical="center" wrapText="1"/>
    </xf>
    <xf numFmtId="3" fontId="29" fillId="9" borderId="15" xfId="0" applyNumberFormat="1" applyFont="1" applyFill="1" applyBorder="1" applyAlignment="1">
      <alignment horizontal="center" vertical="center"/>
    </xf>
    <xf numFmtId="3" fontId="28" fillId="9" borderId="15" xfId="0" applyNumberFormat="1" applyFont="1" applyFill="1" applyBorder="1" applyAlignment="1">
      <alignment horizontal="center" vertical="center"/>
    </xf>
    <xf numFmtId="3" fontId="47" fillId="9" borderId="15" xfId="0" applyNumberFormat="1" applyFont="1" applyFill="1" applyBorder="1" applyAlignment="1">
      <alignment vertical="center"/>
    </xf>
    <xf numFmtId="3" fontId="47" fillId="9" borderId="15" xfId="0" applyNumberFormat="1" applyFont="1" applyFill="1" applyBorder="1" applyAlignment="1">
      <alignment horizontal="left" vertical="center"/>
    </xf>
    <xf numFmtId="3" fontId="47" fillId="9" borderId="15" xfId="0" applyNumberFormat="1" applyFont="1" applyFill="1" applyBorder="1" applyAlignment="1">
      <alignment horizontal="center" vertical="center"/>
    </xf>
    <xf numFmtId="3" fontId="14" fillId="9" borderId="15" xfId="0" applyNumberFormat="1" applyFont="1" applyFill="1" applyBorder="1" applyAlignment="1">
      <alignment horizontal="center" vertical="center"/>
    </xf>
    <xf numFmtId="3" fontId="12" fillId="9" borderId="15" xfId="0" applyNumberFormat="1" applyFont="1" applyFill="1" applyBorder="1" applyAlignment="1">
      <alignment horizontal="center" vertical="center"/>
    </xf>
    <xf numFmtId="3" fontId="14" fillId="3" borderId="15" xfId="0" applyNumberFormat="1" applyFont="1" applyFill="1" applyBorder="1" applyAlignment="1">
      <alignment horizontal="center" vertical="center"/>
    </xf>
    <xf numFmtId="3" fontId="47" fillId="3" borderId="15" xfId="2" applyNumberFormat="1" applyFont="1" applyFill="1" applyBorder="1" applyAlignment="1">
      <alignment horizontal="center" vertical="center"/>
    </xf>
    <xf numFmtId="3" fontId="47" fillId="3" borderId="15" xfId="0" applyNumberFormat="1" applyFont="1" applyFill="1" applyBorder="1" applyAlignment="1">
      <alignment vertical="center"/>
    </xf>
    <xf numFmtId="3" fontId="24" fillId="3" borderId="15" xfId="0" applyNumberFormat="1" applyFont="1" applyFill="1" applyBorder="1" applyAlignment="1">
      <alignment vertical="center"/>
    </xf>
    <xf numFmtId="3" fontId="24" fillId="3" borderId="15" xfId="0" quotePrefix="1" applyNumberFormat="1" applyFont="1" applyFill="1" applyBorder="1" applyAlignment="1">
      <alignment horizontal="left" vertical="center" indent="1"/>
    </xf>
    <xf numFmtId="3" fontId="65" fillId="3" borderId="15" xfId="0" applyNumberFormat="1" applyFont="1" applyFill="1" applyBorder="1" applyAlignment="1">
      <alignment horizontal="center" vertical="center"/>
    </xf>
    <xf numFmtId="3" fontId="28" fillId="3" borderId="15" xfId="0" applyNumberFormat="1" applyFont="1" applyFill="1" applyBorder="1" applyAlignment="1">
      <alignment horizontal="center" vertical="center"/>
    </xf>
    <xf numFmtId="3" fontId="30" fillId="3" borderId="15" xfId="0" quotePrefix="1" applyNumberFormat="1" applyFont="1" applyFill="1" applyBorder="1" applyAlignment="1">
      <alignment horizontal="left" vertical="center" indent="2"/>
    </xf>
    <xf numFmtId="3" fontId="30" fillId="3" borderId="15" xfId="0" applyNumberFormat="1" applyFont="1" applyFill="1" applyBorder="1" applyAlignment="1">
      <alignment horizontal="right" vertical="center"/>
    </xf>
    <xf numFmtId="3" fontId="28" fillId="3" borderId="15" xfId="0" quotePrefix="1" applyNumberFormat="1" applyFont="1" applyFill="1" applyBorder="1" applyAlignment="1">
      <alignment horizontal="left" vertical="center" indent="2"/>
    </xf>
    <xf numFmtId="3" fontId="27" fillId="0" borderId="15" xfId="0" applyNumberFormat="1" applyFont="1" applyBorder="1" applyAlignment="1">
      <alignment vertical="center"/>
    </xf>
    <xf numFmtId="3" fontId="30" fillId="3" borderId="15" xfId="0" applyNumberFormat="1" applyFont="1" applyFill="1" applyBorder="1" applyAlignment="1">
      <alignment horizontal="left" vertical="center" indent="1"/>
    </xf>
    <xf numFmtId="3" fontId="23" fillId="0" borderId="0" xfId="0" applyNumberFormat="1" applyFont="1" applyAlignment="1">
      <alignment horizontal="left" vertical="center"/>
    </xf>
    <xf numFmtId="3" fontId="34" fillId="3" borderId="15" xfId="0" applyNumberFormat="1" applyFont="1" applyFill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23" fillId="0" borderId="0" xfId="0" applyNumberFormat="1" applyFont="1" applyAlignment="1">
      <alignment vertical="center"/>
    </xf>
    <xf numFmtId="3" fontId="24" fillId="0" borderId="0" xfId="0" applyNumberFormat="1" applyFont="1" applyAlignment="1">
      <alignment horizontal="right" vertical="center"/>
    </xf>
    <xf numFmtId="1" fontId="12" fillId="3" borderId="0" xfId="2" applyNumberFormat="1" applyFont="1" applyFill="1" applyAlignment="1">
      <alignment horizontal="right" vertical="center"/>
    </xf>
    <xf numFmtId="3" fontId="67" fillId="3" borderId="0" xfId="2" applyNumberFormat="1" applyFont="1" applyFill="1" applyAlignment="1">
      <alignment vertical="center"/>
    </xf>
    <xf numFmtId="3" fontId="68" fillId="3" borderId="0" xfId="2" applyNumberFormat="1" applyFont="1" applyFill="1" applyAlignment="1">
      <alignment vertical="center"/>
    </xf>
    <xf numFmtId="4" fontId="68" fillId="3" borderId="0" xfId="2" applyNumberFormat="1" applyFont="1" applyFill="1" applyAlignment="1">
      <alignment horizontal="right" vertical="center"/>
    </xf>
    <xf numFmtId="3" fontId="68" fillId="3" borderId="18" xfId="2" applyNumberFormat="1" applyFont="1" applyFill="1" applyBorder="1" applyAlignment="1">
      <alignment horizontal="right" vertical="center"/>
    </xf>
    <xf numFmtId="4" fontId="68" fillId="3" borderId="18" xfId="2" applyNumberFormat="1" applyFont="1" applyFill="1" applyBorder="1" applyAlignment="1">
      <alignment horizontal="right" vertical="center"/>
    </xf>
    <xf numFmtId="3" fontId="68" fillId="3" borderId="10" xfId="2" applyNumberFormat="1" applyFont="1" applyFill="1" applyBorder="1" applyAlignment="1">
      <alignment horizontal="center" vertical="center"/>
    </xf>
    <xf numFmtId="3" fontId="68" fillId="3" borderId="10" xfId="2" applyNumberFormat="1" applyFont="1" applyFill="1" applyBorder="1" applyAlignment="1">
      <alignment horizontal="center" vertical="center" wrapText="1"/>
    </xf>
    <xf numFmtId="4" fontId="68" fillId="3" borderId="19" xfId="2" applyNumberFormat="1" applyFont="1" applyFill="1" applyBorder="1" applyAlignment="1">
      <alignment horizontal="center" vertical="center"/>
    </xf>
    <xf numFmtId="3" fontId="68" fillId="3" borderId="9" xfId="2" applyNumberFormat="1" applyFont="1" applyFill="1" applyBorder="1" applyAlignment="1">
      <alignment horizontal="center" vertical="center"/>
    </xf>
    <xf numFmtId="4" fontId="68" fillId="3" borderId="20" xfId="2" applyNumberFormat="1" applyFont="1" applyFill="1" applyBorder="1" applyAlignment="1">
      <alignment horizontal="center" vertical="center"/>
    </xf>
    <xf numFmtId="3" fontId="68" fillId="3" borderId="5" xfId="2" applyNumberFormat="1" applyFont="1" applyFill="1" applyBorder="1" applyAlignment="1">
      <alignment horizontal="center" vertical="center"/>
    </xf>
    <xf numFmtId="4" fontId="68" fillId="3" borderId="21" xfId="2" applyNumberFormat="1" applyFont="1" applyFill="1" applyBorder="1" applyAlignment="1">
      <alignment horizontal="right" vertical="center"/>
    </xf>
    <xf numFmtId="3" fontId="67" fillId="0" borderId="0" xfId="2" applyNumberFormat="1" applyFont="1" applyAlignment="1">
      <alignment vertical="center"/>
    </xf>
    <xf numFmtId="2" fontId="19" fillId="3" borderId="77" xfId="2" applyNumberFormat="1" applyFont="1" applyFill="1" applyBorder="1" applyAlignment="1">
      <alignment horizontal="right" vertical="center"/>
    </xf>
    <xf numFmtId="3" fontId="68" fillId="0" borderId="0" xfId="2" applyNumberFormat="1" applyFont="1" applyAlignment="1">
      <alignment vertical="center"/>
    </xf>
    <xf numFmtId="4" fontId="68" fillId="0" borderId="0" xfId="2" applyNumberFormat="1" applyFont="1" applyAlignment="1">
      <alignment horizontal="right" vertical="center"/>
    </xf>
    <xf numFmtId="2" fontId="67" fillId="0" borderId="0" xfId="2" applyNumberFormat="1" applyFont="1" applyAlignment="1">
      <alignment vertical="center"/>
    </xf>
    <xf numFmtId="3" fontId="31" fillId="0" borderId="0" xfId="0" applyNumberFormat="1" applyFont="1" applyAlignment="1">
      <alignment vertical="center" shrinkToFit="1"/>
    </xf>
    <xf numFmtId="3" fontId="29" fillId="3" borderId="1" xfId="0" applyNumberFormat="1" applyFont="1" applyFill="1" applyBorder="1" applyAlignment="1">
      <alignment horizontal="center" vertical="center"/>
    </xf>
    <xf numFmtId="3" fontId="66" fillId="3" borderId="15" xfId="0" applyNumberFormat="1" applyFont="1" applyFill="1" applyBorder="1" applyAlignment="1">
      <alignment horizontal="center" vertical="center"/>
    </xf>
    <xf numFmtId="4" fontId="71" fillId="3" borderId="85" xfId="2" applyNumberFormat="1" applyFont="1" applyFill="1" applyBorder="1" applyAlignment="1">
      <alignment horizontal="right" vertical="center"/>
    </xf>
    <xf numFmtId="3" fontId="73" fillId="0" borderId="0" xfId="2" applyNumberFormat="1" applyFont="1" applyAlignment="1">
      <alignment vertical="center"/>
    </xf>
    <xf numFmtId="3" fontId="12" fillId="0" borderId="0" xfId="0" applyNumberFormat="1" applyFont="1" applyAlignment="1">
      <alignment vertical="center" shrinkToFit="1"/>
    </xf>
    <xf numFmtId="0" fontId="18" fillId="3" borderId="15" xfId="0" applyFont="1" applyFill="1" applyBorder="1"/>
    <xf numFmtId="3" fontId="18" fillId="3" borderId="76" xfId="2" applyNumberFormat="1" applyFont="1" applyFill="1" applyBorder="1" applyAlignment="1">
      <alignment vertical="center"/>
    </xf>
    <xf numFmtId="3" fontId="12" fillId="3" borderId="15" xfId="0" applyNumberFormat="1" applyFont="1" applyFill="1" applyBorder="1" applyAlignment="1">
      <alignment horizontal="center" vertical="center"/>
    </xf>
    <xf numFmtId="3" fontId="23" fillId="3" borderId="15" xfId="0" applyNumberFormat="1" applyFont="1" applyFill="1" applyBorder="1" applyAlignment="1">
      <alignment horizontal="left" vertical="center"/>
    </xf>
    <xf numFmtId="0" fontId="24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1" fontId="60" fillId="3" borderId="12" xfId="2" applyNumberFormat="1" applyFont="1" applyFill="1" applyBorder="1" applyAlignment="1">
      <alignment horizontal="center" vertical="center" wrapText="1"/>
    </xf>
    <xf numFmtId="3" fontId="63" fillId="3" borderId="12" xfId="2" applyNumberFormat="1" applyFont="1" applyFill="1" applyBorder="1" applyAlignment="1">
      <alignment horizontal="left" vertical="center"/>
    </xf>
    <xf numFmtId="3" fontId="55" fillId="3" borderId="0" xfId="2" applyNumberFormat="1" applyFont="1" applyFill="1" applyAlignment="1">
      <alignment horizontal="center" vertical="center"/>
    </xf>
    <xf numFmtId="3" fontId="56" fillId="3" borderId="0" xfId="2" applyNumberFormat="1" applyFont="1" applyFill="1" applyAlignment="1">
      <alignment vertical="center"/>
    </xf>
    <xf numFmtId="3" fontId="51" fillId="6" borderId="115" xfId="2" applyNumberFormat="1" applyFont="1" applyFill="1" applyBorder="1" applyAlignment="1">
      <alignment horizontal="center" vertical="center"/>
    </xf>
    <xf numFmtId="3" fontId="51" fillId="6" borderId="117" xfId="2" applyNumberFormat="1" applyFont="1" applyFill="1" applyBorder="1" applyAlignment="1">
      <alignment horizontal="center" vertical="center"/>
    </xf>
    <xf numFmtId="3" fontId="51" fillId="6" borderId="118" xfId="2" applyNumberFormat="1" applyFont="1" applyFill="1" applyBorder="1" applyAlignment="1">
      <alignment horizontal="center" vertical="center"/>
    </xf>
    <xf numFmtId="3" fontId="51" fillId="3" borderId="80" xfId="2" applyNumberFormat="1" applyFont="1" applyFill="1" applyBorder="1" applyAlignment="1">
      <alignment horizontal="center" vertical="center"/>
    </xf>
    <xf numFmtId="3" fontId="51" fillId="3" borderId="91" xfId="2" applyNumberFormat="1" applyFont="1" applyFill="1" applyBorder="1" applyAlignment="1">
      <alignment horizontal="center" vertical="center"/>
    </xf>
    <xf numFmtId="3" fontId="51" fillId="3" borderId="88" xfId="2" applyNumberFormat="1" applyFont="1" applyFill="1" applyBorder="1" applyAlignment="1">
      <alignment horizontal="center" vertical="center"/>
    </xf>
    <xf numFmtId="1" fontId="51" fillId="6" borderId="115" xfId="2" applyNumberFormat="1" applyFont="1" applyFill="1" applyBorder="1" applyAlignment="1">
      <alignment horizontal="right" vertical="center"/>
    </xf>
    <xf numFmtId="3" fontId="53" fillId="6" borderId="74" xfId="2" applyNumberFormat="1" applyFont="1" applyFill="1" applyBorder="1" applyAlignment="1">
      <alignment horizontal="center" vertical="center"/>
    </xf>
    <xf numFmtId="3" fontId="53" fillId="6" borderId="1" xfId="2" applyNumberFormat="1" applyFont="1" applyFill="1" applyBorder="1" applyAlignment="1">
      <alignment horizontal="center" vertical="center"/>
    </xf>
    <xf numFmtId="3" fontId="53" fillId="6" borderId="6" xfId="2" applyNumberFormat="1" applyFont="1" applyFill="1" applyBorder="1" applyAlignment="1">
      <alignment horizontal="center" vertical="center"/>
    </xf>
    <xf numFmtId="3" fontId="53" fillId="6" borderId="97" xfId="2" applyNumberFormat="1" applyFont="1" applyFill="1" applyBorder="1" applyAlignment="1">
      <alignment horizontal="center" vertical="center"/>
    </xf>
    <xf numFmtId="3" fontId="53" fillId="6" borderId="98" xfId="2" applyNumberFormat="1" applyFont="1" applyFill="1" applyBorder="1" applyAlignment="1">
      <alignment horizontal="center" vertical="center"/>
    </xf>
    <xf numFmtId="3" fontId="53" fillId="4" borderId="17" xfId="2" applyNumberFormat="1" applyFont="1" applyFill="1" applyBorder="1" applyAlignment="1">
      <alignment vertical="center"/>
    </xf>
    <xf numFmtId="3" fontId="53" fillId="4" borderId="22" xfId="2" applyNumberFormat="1" applyFont="1" applyFill="1" applyBorder="1" applyAlignment="1">
      <alignment vertical="center"/>
    </xf>
    <xf numFmtId="3" fontId="53" fillId="4" borderId="7" xfId="2" applyNumberFormat="1" applyFont="1" applyFill="1" applyBorder="1" applyAlignment="1">
      <alignment vertical="center"/>
    </xf>
    <xf numFmtId="3" fontId="72" fillId="4" borderId="10" xfId="2" applyNumberFormat="1" applyFont="1" applyFill="1" applyBorder="1" applyAlignment="1">
      <alignment horizontal="right" vertical="center"/>
    </xf>
    <xf numFmtId="3" fontId="72" fillId="4" borderId="9" xfId="2" applyNumberFormat="1" applyFont="1" applyFill="1" applyBorder="1" applyAlignment="1">
      <alignment horizontal="right" vertical="center"/>
    </xf>
    <xf numFmtId="3" fontId="76" fillId="4" borderId="9" xfId="2" applyNumberFormat="1" applyFont="1" applyFill="1" applyBorder="1" applyAlignment="1">
      <alignment horizontal="right" vertical="center"/>
    </xf>
    <xf numFmtId="4" fontId="72" fillId="4" borderId="20" xfId="2" applyNumberFormat="1" applyFont="1" applyFill="1" applyBorder="1" applyAlignment="1">
      <alignment horizontal="right" vertical="center"/>
    </xf>
    <xf numFmtId="3" fontId="52" fillId="5" borderId="6" xfId="2" applyNumberFormat="1" applyFont="1" applyFill="1" applyBorder="1" applyAlignment="1">
      <alignment horizontal="center" vertical="center"/>
    </xf>
    <xf numFmtId="3" fontId="72" fillId="5" borderId="9" xfId="2" applyNumberFormat="1" applyFont="1" applyFill="1" applyBorder="1" applyAlignment="1">
      <alignment horizontal="right" vertical="center"/>
    </xf>
    <xf numFmtId="3" fontId="76" fillId="5" borderId="9" xfId="2" applyNumberFormat="1" applyFont="1" applyFill="1" applyBorder="1" applyAlignment="1">
      <alignment horizontal="right" vertical="center"/>
    </xf>
    <xf numFmtId="4" fontId="72" fillId="5" borderId="20" xfId="2" applyNumberFormat="1" applyFont="1" applyFill="1" applyBorder="1" applyAlignment="1">
      <alignment horizontal="right" vertical="center"/>
    </xf>
    <xf numFmtId="1" fontId="54" fillId="3" borderId="15" xfId="2" applyNumberFormat="1" applyFont="1" applyFill="1" applyBorder="1" applyAlignment="1">
      <alignment vertical="center"/>
    </xf>
    <xf numFmtId="3" fontId="54" fillId="9" borderId="95" xfId="2" applyNumberFormat="1" applyFont="1" applyFill="1" applyBorder="1" applyAlignment="1">
      <alignment horizontal="center" vertical="center"/>
    </xf>
    <xf numFmtId="3" fontId="54" fillId="9" borderId="80" xfId="2" applyNumberFormat="1" applyFont="1" applyFill="1" applyBorder="1" applyAlignment="1">
      <alignment horizontal="center" vertical="center"/>
    </xf>
    <xf numFmtId="3" fontId="54" fillId="3" borderId="91" xfId="2" applyNumberFormat="1" applyFont="1" applyFill="1" applyBorder="1" applyAlignment="1">
      <alignment horizontal="center" vertical="center"/>
    </xf>
    <xf numFmtId="3" fontId="53" fillId="9" borderId="80" xfId="2" applyNumberFormat="1" applyFont="1" applyFill="1" applyBorder="1" applyAlignment="1">
      <alignment horizontal="center" vertical="center"/>
    </xf>
    <xf numFmtId="1" fontId="56" fillId="0" borderId="0" xfId="2" applyNumberFormat="1" applyFont="1" applyAlignment="1">
      <alignment horizontal="right" vertical="center"/>
    </xf>
    <xf numFmtId="3" fontId="75" fillId="0" borderId="0" xfId="2" applyNumberFormat="1" applyFont="1" applyAlignment="1">
      <alignment vertical="center"/>
    </xf>
    <xf numFmtId="3" fontId="73" fillId="0" borderId="22" xfId="2" applyNumberFormat="1" applyFont="1" applyBorder="1" applyAlignment="1">
      <alignment vertical="center"/>
    </xf>
    <xf numFmtId="4" fontId="75" fillId="0" borderId="0" xfId="2" applyNumberFormat="1" applyFont="1" applyAlignment="1">
      <alignment horizontal="right" vertical="center"/>
    </xf>
    <xf numFmtId="3" fontId="70" fillId="0" borderId="0" xfId="2" applyNumberFormat="1" applyFont="1" applyAlignment="1">
      <alignment vertical="center"/>
    </xf>
    <xf numFmtId="3" fontId="71" fillId="0" borderId="0" xfId="2" applyNumberFormat="1" applyFont="1" applyAlignment="1">
      <alignment vertical="center"/>
    </xf>
    <xf numFmtId="2" fontId="73" fillId="0" borderId="0" xfId="2" applyNumberFormat="1" applyFont="1" applyAlignment="1">
      <alignment vertical="center"/>
    </xf>
    <xf numFmtId="2" fontId="75" fillId="0" borderId="0" xfId="2" applyNumberFormat="1" applyFont="1" applyAlignment="1">
      <alignment horizontal="right" vertical="center"/>
    </xf>
    <xf numFmtId="3" fontId="74" fillId="0" borderId="19" xfId="0" applyNumberFormat="1" applyFont="1" applyBorder="1" applyAlignment="1">
      <alignment horizontal="center" vertical="center" shrinkToFit="1"/>
    </xf>
    <xf numFmtId="0" fontId="78" fillId="0" borderId="0" xfId="0" applyFont="1" applyAlignment="1">
      <alignment horizontal="center" vertical="center" wrapText="1"/>
    </xf>
    <xf numFmtId="0" fontId="78" fillId="0" borderId="0" xfId="0" applyFont="1" applyAlignment="1">
      <alignment vertical="center" wrapText="1"/>
    </xf>
    <xf numFmtId="3" fontId="78" fillId="0" borderId="0" xfId="0" applyNumberFormat="1" applyFont="1" applyAlignment="1">
      <alignment vertical="center"/>
    </xf>
    <xf numFmtId="0" fontId="78" fillId="0" borderId="0" xfId="0" applyFont="1" applyAlignment="1">
      <alignment horizontal="center" vertical="center"/>
    </xf>
    <xf numFmtId="0" fontId="79" fillId="0" borderId="0" xfId="4" applyFont="1"/>
    <xf numFmtId="0" fontId="79" fillId="0" borderId="0" xfId="4" applyFont="1" applyAlignment="1">
      <alignment vertical="center"/>
    </xf>
    <xf numFmtId="0" fontId="80" fillId="0" borderId="0" xfId="4" applyFont="1"/>
    <xf numFmtId="0" fontId="77" fillId="0" borderId="0" xfId="0" applyFont="1" applyAlignment="1">
      <alignment horizontal="right" vertical="top"/>
    </xf>
    <xf numFmtId="0" fontId="18" fillId="0" borderId="0" xfId="4" applyFont="1" applyAlignment="1">
      <alignment horizontal="right"/>
    </xf>
    <xf numFmtId="0" fontId="18" fillId="0" borderId="15" xfId="0" applyFont="1" applyBorder="1" applyAlignment="1">
      <alignment horizontal="center" vertical="center"/>
    </xf>
    <xf numFmtId="3" fontId="23" fillId="0" borderId="0" xfId="0" applyNumberFormat="1" applyFont="1"/>
    <xf numFmtId="0" fontId="49" fillId="0" borderId="0" xfId="0" applyFont="1" applyAlignment="1">
      <alignment horizontal="center"/>
    </xf>
    <xf numFmtId="0" fontId="82" fillId="0" borderId="0" xfId="0" applyFont="1"/>
    <xf numFmtId="0" fontId="83" fillId="0" borderId="0" xfId="0" applyFont="1"/>
    <xf numFmtId="0" fontId="84" fillId="0" borderId="12" xfId="0" applyFont="1" applyBorder="1" applyAlignment="1">
      <alignment horizontal="center" vertical="center"/>
    </xf>
    <xf numFmtId="0" fontId="84" fillId="0" borderId="13" xfId="0" applyFont="1" applyBorder="1" applyAlignment="1">
      <alignment horizontal="center" vertical="center"/>
    </xf>
    <xf numFmtId="0" fontId="23" fillId="0" borderId="15" xfId="6" applyFont="1" applyBorder="1" applyAlignment="1">
      <alignment horizontal="center" vertical="center"/>
    </xf>
    <xf numFmtId="0" fontId="23" fillId="0" borderId="15" xfId="6" applyFont="1" applyBorder="1" applyAlignment="1">
      <alignment horizontal="center" vertical="center" wrapText="1"/>
    </xf>
    <xf numFmtId="0" fontId="49" fillId="0" borderId="91" xfId="0" applyFont="1" applyBorder="1" applyAlignment="1">
      <alignment horizontal="center"/>
    </xf>
    <xf numFmtId="3" fontId="83" fillId="0" borderId="128" xfId="0" applyNumberFormat="1" applyFont="1" applyBorder="1"/>
    <xf numFmtId="3" fontId="83" fillId="0" borderId="14" xfId="0" applyNumberFormat="1" applyFont="1" applyBorder="1" applyAlignment="1">
      <alignment vertical="center"/>
    </xf>
    <xf numFmtId="0" fontId="86" fillId="0" borderId="0" xfId="0" applyFont="1" applyAlignment="1">
      <alignment horizontal="left"/>
    </xf>
    <xf numFmtId="16" fontId="87" fillId="0" borderId="0" xfId="0" applyNumberFormat="1" applyFont="1" applyAlignment="1">
      <alignment horizontal="center" vertical="top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3" fontId="88" fillId="0" borderId="0" xfId="0" applyNumberFormat="1" applyFont="1" applyAlignment="1">
      <alignment vertical="center"/>
    </xf>
    <xf numFmtId="3" fontId="83" fillId="0" borderId="0" xfId="0" applyNumberFormat="1" applyFont="1" applyAlignment="1">
      <alignment vertical="center"/>
    </xf>
    <xf numFmtId="0" fontId="84" fillId="0" borderId="90" xfId="0" applyFont="1" applyBorder="1" applyAlignment="1">
      <alignment horizontal="left" wrapText="1"/>
    </xf>
    <xf numFmtId="3" fontId="49" fillId="0" borderId="16" xfId="0" applyNumberFormat="1" applyFont="1" applyBorder="1"/>
    <xf numFmtId="3" fontId="48" fillId="0" borderId="14" xfId="0" applyNumberFormat="1" applyFont="1" applyBorder="1" applyAlignment="1">
      <alignment horizontal="right" vertical="center"/>
    </xf>
    <xf numFmtId="3" fontId="83" fillId="0" borderId="87" xfId="0" applyNumberFormat="1" applyFont="1" applyBorder="1" applyAlignment="1">
      <alignment vertical="center"/>
    </xf>
    <xf numFmtId="3" fontId="83" fillId="0" borderId="0" xfId="0" applyNumberFormat="1" applyFont="1"/>
    <xf numFmtId="0" fontId="84" fillId="0" borderId="15" xfId="0" applyFont="1" applyBorder="1" applyAlignment="1">
      <alignment horizontal="center" vertical="center"/>
    </xf>
    <xf numFmtId="0" fontId="84" fillId="0" borderId="15" xfId="6" applyFont="1" applyBorder="1" applyAlignment="1">
      <alignment horizontal="center" vertical="center"/>
    </xf>
    <xf numFmtId="0" fontId="84" fillId="0" borderId="15" xfId="6" applyFont="1" applyBorder="1" applyAlignment="1">
      <alignment horizontal="center" vertical="center" wrapText="1"/>
    </xf>
    <xf numFmtId="1" fontId="84" fillId="0" borderId="54" xfId="0" quotePrefix="1" applyNumberFormat="1" applyFont="1" applyBorder="1" applyAlignment="1">
      <alignment horizontal="center" vertical="center"/>
    </xf>
    <xf numFmtId="0" fontId="84" fillId="0" borderId="15" xfId="0" applyFont="1" applyBorder="1" applyAlignment="1">
      <alignment wrapText="1"/>
    </xf>
    <xf numFmtId="3" fontId="84" fillId="0" borderId="15" xfId="0" applyNumberFormat="1" applyFont="1" applyBorder="1"/>
    <xf numFmtId="3" fontId="84" fillId="0" borderId="15" xfId="0" applyNumberFormat="1" applyFont="1" applyBorder="1" applyAlignment="1">
      <alignment horizontal="right" vertical="center"/>
    </xf>
    <xf numFmtId="3" fontId="48" fillId="0" borderId="84" xfId="0" applyNumberFormat="1" applyFont="1" applyBorder="1" applyAlignment="1">
      <alignment horizontal="right"/>
    </xf>
    <xf numFmtId="1" fontId="84" fillId="0" borderId="45" xfId="0" quotePrefix="1" applyNumberFormat="1" applyFont="1" applyBorder="1" applyAlignment="1">
      <alignment horizontal="center" vertical="center"/>
    </xf>
    <xf numFmtId="0" fontId="84" fillId="0" borderId="15" xfId="0" applyFont="1" applyBorder="1" applyAlignment="1">
      <alignment horizontal="left" vertical="center" wrapText="1"/>
    </xf>
    <xf numFmtId="3" fontId="84" fillId="0" borderId="13" xfId="0" applyNumberFormat="1" applyFont="1" applyBorder="1" applyAlignment="1">
      <alignment horizontal="right" vertical="center"/>
    </xf>
    <xf numFmtId="3" fontId="48" fillId="0" borderId="16" xfId="0" applyNumberFormat="1" applyFont="1" applyBorder="1"/>
    <xf numFmtId="0" fontId="84" fillId="12" borderId="88" xfId="0" quotePrefix="1" applyFont="1" applyFill="1" applyBorder="1" applyAlignment="1">
      <alignment horizontal="center"/>
    </xf>
    <xf numFmtId="0" fontId="84" fillId="12" borderId="5" xfId="0" applyFont="1" applyFill="1" applyBorder="1" applyAlignment="1">
      <alignment wrapText="1"/>
    </xf>
    <xf numFmtId="3" fontId="84" fillId="12" borderId="14" xfId="0" applyNumberFormat="1" applyFont="1" applyFill="1" applyBorder="1"/>
    <xf numFmtId="3" fontId="48" fillId="12" borderId="87" xfId="0" applyNumberFormat="1" applyFont="1" applyFill="1" applyBorder="1" applyAlignment="1">
      <alignment horizontal="right"/>
    </xf>
    <xf numFmtId="3" fontId="19" fillId="3" borderId="98" xfId="2" applyNumberFormat="1" applyFont="1" applyFill="1" applyBorder="1" applyAlignment="1">
      <alignment horizontal="left" wrapText="1"/>
    </xf>
    <xf numFmtId="3" fontId="19" fillId="3" borderId="13" xfId="2" applyNumberFormat="1" applyFont="1" applyFill="1" applyBorder="1" applyAlignment="1">
      <alignment horizontal="right" vertical="center"/>
    </xf>
    <xf numFmtId="0" fontId="18" fillId="0" borderId="15" xfId="0" applyFont="1" applyBorder="1"/>
    <xf numFmtId="3" fontId="18" fillId="3" borderId="15" xfId="2" applyNumberFormat="1" applyFont="1" applyFill="1" applyBorder="1" applyAlignment="1">
      <alignment horizontal="left"/>
    </xf>
    <xf numFmtId="3" fontId="10" fillId="0" borderId="0" xfId="2" applyNumberFormat="1" applyFont="1" applyAlignment="1">
      <alignment vertical="center"/>
    </xf>
    <xf numFmtId="3" fontId="19" fillId="9" borderId="13" xfId="2" applyNumberFormat="1" applyFont="1" applyFill="1" applyBorder="1" applyAlignment="1">
      <alignment horizontal="right" vertical="center"/>
    </xf>
    <xf numFmtId="1" fontId="59" fillId="3" borderId="16" xfId="2" applyNumberFormat="1" applyFont="1" applyFill="1" applyBorder="1" applyAlignment="1">
      <alignment horizontal="right" vertical="center"/>
    </xf>
    <xf numFmtId="3" fontId="18" fillId="3" borderId="16" xfId="2" applyNumberFormat="1" applyFont="1" applyFill="1" applyBorder="1" applyAlignment="1">
      <alignment horizontal="left"/>
    </xf>
    <xf numFmtId="3" fontId="18" fillId="3" borderId="16" xfId="2" applyNumberFormat="1" applyFont="1" applyFill="1" applyBorder="1" applyAlignment="1">
      <alignment horizontal="right" vertical="center"/>
    </xf>
    <xf numFmtId="3" fontId="18" fillId="3" borderId="16" xfId="2" applyNumberFormat="1" applyFont="1" applyFill="1" applyBorder="1" applyAlignment="1">
      <alignment vertical="center"/>
    </xf>
    <xf numFmtId="3" fontId="19" fillId="3" borderId="16" xfId="2" applyNumberFormat="1" applyFont="1" applyFill="1" applyBorder="1" applyAlignment="1">
      <alignment horizontal="right" vertical="center"/>
    </xf>
    <xf numFmtId="3" fontId="19" fillId="3" borderId="16" xfId="2" applyNumberFormat="1" applyFont="1" applyFill="1" applyBorder="1" applyAlignment="1">
      <alignment vertical="center"/>
    </xf>
    <xf numFmtId="4" fontId="19" fillId="3" borderId="85" xfId="2" applyNumberFormat="1" applyFont="1" applyFill="1" applyBorder="1" applyAlignment="1">
      <alignment horizontal="right" vertical="center"/>
    </xf>
    <xf numFmtId="3" fontId="59" fillId="3" borderId="91" xfId="2" applyNumberFormat="1" applyFont="1" applyFill="1" applyBorder="1" applyAlignment="1">
      <alignment horizontal="center" vertical="center"/>
    </xf>
    <xf numFmtId="3" fontId="59" fillId="3" borderId="15" xfId="2" applyNumberFormat="1" applyFont="1" applyFill="1" applyBorder="1" applyAlignment="1">
      <alignment horizontal="center" vertical="center"/>
    </xf>
    <xf numFmtId="3" fontId="59" fillId="3" borderId="88" xfId="2" applyNumberFormat="1" applyFont="1" applyFill="1" applyBorder="1" applyAlignment="1">
      <alignment horizontal="center" vertical="center"/>
    </xf>
    <xf numFmtId="3" fontId="59" fillId="3" borderId="14" xfId="2" applyNumberFormat="1" applyFont="1" applyFill="1" applyBorder="1" applyAlignment="1">
      <alignment horizontal="center" vertical="center"/>
    </xf>
    <xf numFmtId="3" fontId="18" fillId="3" borderId="15" xfId="2" applyNumberFormat="1" applyFont="1" applyFill="1" applyBorder="1" applyAlignment="1">
      <alignment horizontal="left" wrapText="1"/>
    </xf>
    <xf numFmtId="3" fontId="59" fillId="0" borderId="15" xfId="2" applyNumberFormat="1" applyFont="1" applyBorder="1" applyAlignment="1">
      <alignment horizontal="center" vertical="center"/>
    </xf>
    <xf numFmtId="1" fontId="59" fillId="0" borderId="89" xfId="2" applyNumberFormat="1" applyFont="1" applyBorder="1" applyAlignment="1">
      <alignment vertical="center"/>
    </xf>
    <xf numFmtId="1" fontId="59" fillId="0" borderId="74" xfId="2" applyNumberFormat="1" applyFont="1" applyBorder="1" applyAlignment="1">
      <alignment horizontal="right" vertical="center"/>
    </xf>
    <xf numFmtId="3" fontId="19" fillId="3" borderId="76" xfId="2" applyNumberFormat="1" applyFont="1" applyFill="1" applyBorder="1" applyAlignment="1">
      <alignment vertical="center" wrapText="1"/>
    </xf>
    <xf numFmtId="4" fontId="19" fillId="3" borderId="77" xfId="2" applyNumberFormat="1" applyFont="1" applyFill="1" applyBorder="1" applyAlignment="1">
      <alignment horizontal="right" vertical="center"/>
    </xf>
    <xf numFmtId="1" fontId="59" fillId="0" borderId="15" xfId="2" applyNumberFormat="1" applyFont="1" applyBorder="1" applyAlignment="1">
      <alignment vertical="center"/>
    </xf>
    <xf numFmtId="1" fontId="59" fillId="0" borderId="15" xfId="2" applyNumberFormat="1" applyFont="1" applyBorder="1" applyAlignment="1">
      <alignment horizontal="right" vertical="center"/>
    </xf>
    <xf numFmtId="3" fontId="62" fillId="0" borderId="15" xfId="2" applyNumberFormat="1" applyFont="1" applyBorder="1" applyAlignment="1">
      <alignment vertical="center" shrinkToFit="1"/>
    </xf>
    <xf numFmtId="1" fontId="59" fillId="0" borderId="16" xfId="2" applyNumberFormat="1" applyFont="1" applyBorder="1" applyAlignment="1">
      <alignment horizontal="right" vertical="center"/>
    </xf>
    <xf numFmtId="3" fontId="19" fillId="6" borderId="115" xfId="2" applyNumberFormat="1" applyFont="1" applyFill="1" applyBorder="1" applyAlignment="1">
      <alignment horizontal="left" vertical="center" wrapText="1" indent="1"/>
    </xf>
    <xf numFmtId="3" fontId="63" fillId="6" borderId="115" xfId="2" applyNumberFormat="1" applyFont="1" applyFill="1" applyBorder="1" applyAlignment="1">
      <alignment horizontal="left" vertical="center" indent="2"/>
    </xf>
    <xf numFmtId="3" fontId="63" fillId="6" borderId="116" xfId="2" applyNumberFormat="1" applyFont="1" applyFill="1" applyBorder="1" applyAlignment="1">
      <alignment horizontal="left" vertical="center" indent="2"/>
    </xf>
    <xf numFmtId="3" fontId="63" fillId="0" borderId="13" xfId="2" applyNumberFormat="1" applyFont="1" applyBorder="1" applyAlignment="1">
      <alignment horizontal="left" vertical="center" indent="2"/>
    </xf>
    <xf numFmtId="3" fontId="27" fillId="0" borderId="15" xfId="2" applyNumberFormat="1" applyFont="1" applyBorder="1" applyAlignment="1">
      <alignment horizontal="left" vertical="center" indent="2"/>
    </xf>
    <xf numFmtId="3" fontId="62" fillId="0" borderId="13" xfId="2" applyNumberFormat="1" applyFont="1" applyBorder="1" applyAlignment="1">
      <alignment horizontal="left" vertical="center" indent="2"/>
    </xf>
    <xf numFmtId="3" fontId="63" fillId="0" borderId="15" xfId="2" applyNumberFormat="1" applyFont="1" applyBorder="1" applyAlignment="1">
      <alignment horizontal="left" vertical="center" indent="2"/>
    </xf>
    <xf numFmtId="3" fontId="19" fillId="6" borderId="115" xfId="2" applyNumberFormat="1" applyFont="1" applyFill="1" applyBorder="1" applyAlignment="1">
      <alignment vertical="center"/>
    </xf>
    <xf numFmtId="3" fontId="19" fillId="6" borderId="115" xfId="2" applyNumberFormat="1" applyFont="1" applyFill="1" applyBorder="1" applyAlignment="1">
      <alignment horizontal="right" vertical="center"/>
    </xf>
    <xf numFmtId="4" fontId="19" fillId="6" borderId="82" xfId="2" applyNumberFormat="1" applyFont="1" applyFill="1" applyBorder="1" applyAlignment="1">
      <alignment horizontal="right" vertical="center"/>
    </xf>
    <xf numFmtId="3" fontId="19" fillId="6" borderId="116" xfId="2" applyNumberFormat="1" applyFont="1" applyFill="1" applyBorder="1" applyAlignment="1">
      <alignment vertical="center"/>
    </xf>
    <xf numFmtId="3" fontId="19" fillId="0" borderId="13" xfId="2" applyNumberFormat="1" applyFont="1" applyBorder="1" applyAlignment="1">
      <alignment vertical="center"/>
    </xf>
    <xf numFmtId="3" fontId="19" fillId="0" borderId="13" xfId="2" applyNumberFormat="1" applyFont="1" applyBorder="1" applyAlignment="1">
      <alignment horizontal="right" vertical="center"/>
    </xf>
    <xf numFmtId="3" fontId="19" fillId="0" borderId="83" xfId="2" applyNumberFormat="1" applyFont="1" applyBorder="1" applyAlignment="1">
      <alignment horizontal="right" vertical="center"/>
    </xf>
    <xf numFmtId="3" fontId="19" fillId="0" borderId="105" xfId="2" applyNumberFormat="1" applyFont="1" applyBorder="1" applyAlignment="1">
      <alignment vertical="center"/>
    </xf>
    <xf numFmtId="3" fontId="19" fillId="0" borderId="15" xfId="2" applyNumberFormat="1" applyFont="1" applyBorder="1" applyAlignment="1">
      <alignment vertical="center"/>
    </xf>
    <xf numFmtId="3" fontId="19" fillId="0" borderId="15" xfId="2" applyNumberFormat="1" applyFont="1" applyBorder="1" applyAlignment="1">
      <alignment horizontal="right" vertical="center"/>
    </xf>
    <xf numFmtId="3" fontId="19" fillId="0" borderId="89" xfId="2" applyNumberFormat="1" applyFont="1" applyBorder="1" applyAlignment="1">
      <alignment horizontal="right" vertical="center"/>
    </xf>
    <xf numFmtId="3" fontId="19" fillId="0" borderId="16" xfId="2" applyNumberFormat="1" applyFont="1" applyBorder="1" applyAlignment="1">
      <alignment vertical="center"/>
    </xf>
    <xf numFmtId="3" fontId="14" fillId="0" borderId="84" xfId="0" applyNumberFormat="1" applyFont="1" applyBorder="1" applyAlignment="1">
      <alignment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left" vertical="center" wrapText="1" indent="1"/>
    </xf>
    <xf numFmtId="3" fontId="28" fillId="0" borderId="15" xfId="0" applyNumberFormat="1" applyFont="1" applyBorder="1" applyAlignment="1">
      <alignment vertical="center" wrapText="1"/>
    </xf>
    <xf numFmtId="3" fontId="28" fillId="0" borderId="9" xfId="0" applyNumberFormat="1" applyFont="1" applyBorder="1" applyAlignment="1">
      <alignment vertical="center" wrapText="1"/>
    </xf>
    <xf numFmtId="3" fontId="28" fillId="0" borderId="6" xfId="0" applyNumberFormat="1" applyFont="1" applyBorder="1" applyAlignment="1">
      <alignment vertical="center" wrapText="1"/>
    </xf>
    <xf numFmtId="3" fontId="14" fillId="0" borderId="20" xfId="0" applyNumberFormat="1" applyFont="1" applyBorder="1" applyAlignment="1">
      <alignment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vertical="center" wrapText="1"/>
    </xf>
    <xf numFmtId="3" fontId="21" fillId="3" borderId="93" xfId="0" applyNumberFormat="1" applyFont="1" applyFill="1" applyBorder="1" applyAlignment="1">
      <alignment vertical="center" wrapText="1"/>
    </xf>
    <xf numFmtId="3" fontId="21" fillId="0" borderId="15" xfId="0" applyNumberFormat="1" applyFont="1" applyBorder="1" applyAlignment="1">
      <alignment vertical="center" wrapText="1"/>
    </xf>
    <xf numFmtId="3" fontId="21" fillId="0" borderId="84" xfId="0" applyNumberFormat="1" applyFont="1" applyBorder="1" applyAlignment="1">
      <alignment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23" xfId="0" applyFont="1" applyBorder="1" applyAlignment="1">
      <alignment vertical="center" wrapText="1"/>
    </xf>
    <xf numFmtId="3" fontId="21" fillId="3" borderId="133" xfId="0" applyNumberFormat="1" applyFont="1" applyFill="1" applyBorder="1" applyAlignment="1">
      <alignment vertical="center" wrapText="1"/>
    </xf>
    <xf numFmtId="3" fontId="21" fillId="3" borderId="23" xfId="0" applyNumberFormat="1" applyFont="1" applyFill="1" applyBorder="1" applyAlignment="1">
      <alignment vertical="center" wrapText="1"/>
    </xf>
    <xf numFmtId="3" fontId="21" fillId="0" borderId="23" xfId="0" applyNumberFormat="1" applyFont="1" applyBorder="1" applyAlignment="1">
      <alignment vertical="center" wrapText="1"/>
    </xf>
    <xf numFmtId="3" fontId="21" fillId="0" borderId="134" xfId="0" applyNumberFormat="1" applyFont="1" applyBorder="1" applyAlignment="1">
      <alignment vertical="center" wrapText="1"/>
    </xf>
    <xf numFmtId="41" fontId="24" fillId="0" borderId="15" xfId="0" applyNumberFormat="1" applyFont="1" applyBorder="1" applyAlignment="1">
      <alignment horizontal="center" vertical="center" wrapText="1"/>
    </xf>
    <xf numFmtId="41" fontId="24" fillId="0" borderId="15" xfId="0" quotePrefix="1" applyNumberFormat="1" applyFont="1" applyBorder="1" applyAlignment="1">
      <alignment horizontal="center" vertical="center" wrapText="1"/>
    </xf>
    <xf numFmtId="41" fontId="23" fillId="0" borderId="15" xfId="0" applyNumberFormat="1" applyFont="1" applyBorder="1" applyAlignment="1">
      <alignment horizontal="center" vertical="center" wrapText="1"/>
    </xf>
    <xf numFmtId="41" fontId="23" fillId="0" borderId="93" xfId="0" applyNumberFormat="1" applyFont="1" applyBorder="1" applyAlignment="1">
      <alignment horizontal="center" vertical="center" wrapText="1"/>
    </xf>
    <xf numFmtId="41" fontId="23" fillId="3" borderId="15" xfId="0" applyNumberFormat="1" applyFont="1" applyFill="1" applyBorder="1" applyAlignment="1">
      <alignment horizontal="center" vertical="center" wrapText="1"/>
    </xf>
    <xf numFmtId="0" fontId="12" fillId="0" borderId="122" xfId="0" applyFont="1" applyBorder="1" applyAlignment="1">
      <alignment vertical="center" wrapText="1"/>
    </xf>
    <xf numFmtId="0" fontId="14" fillId="0" borderId="123" xfId="0" applyFont="1" applyBorder="1" applyAlignment="1">
      <alignment horizontal="center" vertical="center" wrapText="1"/>
    </xf>
    <xf numFmtId="3" fontId="14" fillId="3" borderId="123" xfId="0" applyNumberFormat="1" applyFont="1" applyFill="1" applyBorder="1" applyAlignment="1">
      <alignment vertical="center" wrapText="1"/>
    </xf>
    <xf numFmtId="3" fontId="14" fillId="0" borderId="123" xfId="0" applyNumberFormat="1" applyFont="1" applyBorder="1" applyAlignment="1">
      <alignment vertical="center" wrapText="1"/>
    </xf>
    <xf numFmtId="3" fontId="14" fillId="0" borderId="121" xfId="0" applyNumberFormat="1" applyFont="1" applyBorder="1" applyAlignment="1">
      <alignment vertical="center" wrapText="1"/>
    </xf>
    <xf numFmtId="3" fontId="14" fillId="3" borderId="15" xfId="0" applyNumberFormat="1" applyFont="1" applyFill="1" applyBorder="1" applyAlignment="1">
      <alignment vertical="center" wrapText="1"/>
    </xf>
    <xf numFmtId="3" fontId="14" fillId="3" borderId="6" xfId="0" applyNumberFormat="1" applyFont="1" applyFill="1" applyBorder="1" applyAlignment="1">
      <alignment vertical="center" wrapText="1"/>
    </xf>
    <xf numFmtId="3" fontId="14" fillId="0" borderId="15" xfId="0" applyNumberFormat="1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left" vertical="center" wrapText="1" indent="1"/>
    </xf>
    <xf numFmtId="3" fontId="14" fillId="3" borderId="35" xfId="0" applyNumberFormat="1" applyFont="1" applyFill="1" applyBorder="1" applyAlignment="1">
      <alignment vertical="center" wrapText="1"/>
    </xf>
    <xf numFmtId="3" fontId="14" fillId="3" borderId="14" xfId="0" applyNumberFormat="1" applyFont="1" applyFill="1" applyBorder="1" applyAlignment="1">
      <alignment vertical="center" wrapText="1"/>
    </xf>
    <xf numFmtId="3" fontId="14" fillId="0" borderId="35" xfId="0" applyNumberFormat="1" applyFont="1" applyBorder="1" applyAlignment="1">
      <alignment vertical="center" wrapText="1"/>
    </xf>
    <xf numFmtId="3" fontId="14" fillId="0" borderId="87" xfId="0" applyNumberFormat="1" applyFont="1" applyBorder="1" applyAlignment="1">
      <alignment vertical="center" wrapText="1"/>
    </xf>
    <xf numFmtId="3" fontId="21" fillId="9" borderId="15" xfId="0" applyNumberFormat="1" applyFont="1" applyFill="1" applyBorder="1" applyAlignment="1">
      <alignment horizontal="center" vertical="center"/>
    </xf>
    <xf numFmtId="3" fontId="24" fillId="3" borderId="15" xfId="0" applyNumberFormat="1" applyFont="1" applyFill="1" applyBorder="1" applyAlignment="1">
      <alignment horizontal="center" vertical="center"/>
    </xf>
    <xf numFmtId="3" fontId="24" fillId="3" borderId="15" xfId="0" applyNumberFormat="1" applyFont="1" applyFill="1" applyBorder="1" applyAlignment="1">
      <alignment horizontal="left" vertical="center"/>
    </xf>
    <xf numFmtId="0" fontId="24" fillId="0" borderId="10" xfId="0" applyFont="1" applyBorder="1" applyAlignment="1">
      <alignment horizontal="center" vertical="center" wrapText="1"/>
    </xf>
    <xf numFmtId="3" fontId="21" fillId="3" borderId="15" xfId="0" applyNumberFormat="1" applyFont="1" applyFill="1" applyBorder="1" applyAlignment="1">
      <alignment horizontal="left" vertical="center"/>
    </xf>
    <xf numFmtId="3" fontId="23" fillId="3" borderId="15" xfId="3" applyNumberFormat="1" applyFont="1" applyFill="1" applyBorder="1" applyAlignment="1">
      <alignment horizontal="left" vertical="center" wrapText="1"/>
    </xf>
    <xf numFmtId="3" fontId="59" fillId="3" borderId="54" xfId="2" applyNumberFormat="1" applyFont="1" applyFill="1" applyBorder="1" applyAlignment="1">
      <alignment horizontal="center" vertical="center"/>
    </xf>
    <xf numFmtId="3" fontId="9" fillId="3" borderId="16" xfId="2" applyNumberFormat="1" applyFont="1" applyFill="1" applyBorder="1" applyAlignment="1">
      <alignment horizontal="center" vertical="center"/>
    </xf>
    <xf numFmtId="1" fontId="9" fillId="3" borderId="16" xfId="2" applyNumberFormat="1" applyFont="1" applyFill="1" applyBorder="1" applyAlignment="1">
      <alignment horizontal="right" vertical="center"/>
    </xf>
    <xf numFmtId="3" fontId="18" fillId="3" borderId="16" xfId="2" applyNumberFormat="1" applyFont="1" applyFill="1" applyBorder="1" applyAlignment="1">
      <alignment horizontal="left" vertical="center" wrapText="1" indent="1"/>
    </xf>
    <xf numFmtId="3" fontId="14" fillId="0" borderId="15" xfId="2" applyNumberFormat="1" applyFont="1" applyBorder="1" applyAlignment="1">
      <alignment vertical="center"/>
    </xf>
    <xf numFmtId="3" fontId="18" fillId="3" borderId="16" xfId="2" applyNumberFormat="1" applyFont="1" applyFill="1" applyBorder="1" applyAlignment="1">
      <alignment horizontal="left" wrapText="1"/>
    </xf>
    <xf numFmtId="0" fontId="23" fillId="0" borderId="15" xfId="0" applyFont="1" applyBorder="1"/>
    <xf numFmtId="1" fontId="59" fillId="3" borderId="13" xfId="2" applyNumberFormat="1" applyFont="1" applyFill="1" applyBorder="1" applyAlignment="1">
      <alignment horizontal="right" vertical="center"/>
    </xf>
    <xf numFmtId="0" fontId="23" fillId="0" borderId="15" xfId="0" applyFont="1" applyBorder="1" applyAlignment="1">
      <alignment wrapText="1"/>
    </xf>
    <xf numFmtId="0" fontId="19" fillId="0" borderId="16" xfId="0" applyFont="1" applyBorder="1" applyAlignment="1">
      <alignment horizontal="center" vertical="center" wrapText="1"/>
    </xf>
    <xf numFmtId="3" fontId="23" fillId="0" borderId="15" xfId="0" applyNumberFormat="1" applyFont="1" applyBorder="1" applyAlignment="1">
      <alignment horizontal="center" vertical="center"/>
    </xf>
    <xf numFmtId="3" fontId="34" fillId="3" borderId="15" xfId="0" applyNumberFormat="1" applyFont="1" applyFill="1" applyBorder="1" applyAlignment="1">
      <alignment horizontal="left" vertical="center" wrapText="1"/>
    </xf>
    <xf numFmtId="3" fontId="34" fillId="3" borderId="15" xfId="0" applyNumberFormat="1" applyFont="1" applyFill="1" applyBorder="1" applyAlignment="1">
      <alignment vertical="center" wrapText="1"/>
    </xf>
    <xf numFmtId="3" fontId="23" fillId="0" borderId="0" xfId="0" applyNumberFormat="1" applyFont="1" applyAlignment="1">
      <alignment horizontal="center" vertical="center"/>
    </xf>
    <xf numFmtId="3" fontId="19" fillId="5" borderId="115" xfId="2" applyNumberFormat="1" applyFont="1" applyFill="1" applyBorder="1" applyAlignment="1">
      <alignment horizontal="right" vertical="center"/>
    </xf>
    <xf numFmtId="3" fontId="19" fillId="5" borderId="119" xfId="2" applyNumberFormat="1" applyFont="1" applyFill="1" applyBorder="1" applyAlignment="1">
      <alignment horizontal="right" vertical="center"/>
    </xf>
    <xf numFmtId="4" fontId="19" fillId="5" borderId="82" xfId="2" applyNumberFormat="1" applyFont="1" applyFill="1" applyBorder="1" applyAlignment="1">
      <alignment horizontal="right" vertical="center"/>
    </xf>
    <xf numFmtId="3" fontId="62" fillId="5" borderId="115" xfId="2" applyNumberFormat="1" applyFont="1" applyFill="1" applyBorder="1" applyAlignment="1">
      <alignment horizontal="right" vertical="center"/>
    </xf>
    <xf numFmtId="3" fontId="63" fillId="5" borderId="115" xfId="2" applyNumberFormat="1" applyFont="1" applyFill="1" applyBorder="1" applyAlignment="1">
      <alignment horizontal="right" vertical="center"/>
    </xf>
    <xf numFmtId="4" fontId="62" fillId="5" borderId="82" xfId="2" applyNumberFormat="1" applyFont="1" applyFill="1" applyBorder="1" applyAlignment="1">
      <alignment horizontal="right" vertical="center"/>
    </xf>
    <xf numFmtId="3" fontId="62" fillId="5" borderId="98" xfId="2" applyNumberFormat="1" applyFont="1" applyFill="1" applyBorder="1" applyAlignment="1">
      <alignment horizontal="right" vertical="center"/>
    </xf>
    <xf numFmtId="3" fontId="62" fillId="5" borderId="109" xfId="2" applyNumberFormat="1" applyFont="1" applyFill="1" applyBorder="1" applyAlignment="1">
      <alignment horizontal="right" vertical="center"/>
    </xf>
    <xf numFmtId="4" fontId="62" fillId="5" borderId="34" xfId="2" applyNumberFormat="1" applyFont="1" applyFill="1" applyBorder="1" applyAlignment="1">
      <alignment horizontal="right" vertical="center"/>
    </xf>
    <xf numFmtId="3" fontId="62" fillId="5" borderId="116" xfId="2" applyNumberFormat="1" applyFont="1" applyFill="1" applyBorder="1" applyAlignment="1">
      <alignment horizontal="right" vertical="center"/>
    </xf>
    <xf numFmtId="3" fontId="62" fillId="5" borderId="18" xfId="2" applyNumberFormat="1" applyFont="1" applyFill="1" applyBorder="1" applyAlignment="1">
      <alignment horizontal="right" vertical="center"/>
    </xf>
    <xf numFmtId="3" fontId="63" fillId="5" borderId="116" xfId="2" applyNumberFormat="1" applyFont="1" applyFill="1" applyBorder="1" applyAlignment="1">
      <alignment horizontal="right" vertical="center"/>
    </xf>
    <xf numFmtId="1" fontId="11" fillId="6" borderId="115" xfId="2" applyNumberFormat="1" applyFont="1" applyFill="1" applyBorder="1" applyAlignment="1">
      <alignment horizontal="right" vertical="center"/>
    </xf>
    <xf numFmtId="1" fontId="11" fillId="6" borderId="116" xfId="2" applyNumberFormat="1" applyFont="1" applyFill="1" applyBorder="1" applyAlignment="1">
      <alignment horizontal="right" vertical="center"/>
    </xf>
    <xf numFmtId="1" fontId="11" fillId="0" borderId="13" xfId="2" applyNumberFormat="1" applyFont="1" applyBorder="1" applyAlignment="1">
      <alignment horizontal="right" vertical="center"/>
    </xf>
    <xf numFmtId="1" fontId="11" fillId="0" borderId="15" xfId="2" applyNumberFormat="1" applyFont="1" applyBorder="1" applyAlignment="1">
      <alignment horizontal="right" vertical="center"/>
    </xf>
    <xf numFmtId="4" fontId="19" fillId="9" borderId="81" xfId="2" applyNumberFormat="1" applyFont="1" applyFill="1" applyBorder="1" applyAlignment="1">
      <alignment horizontal="right" vertical="center"/>
    </xf>
    <xf numFmtId="3" fontId="62" fillId="9" borderId="13" xfId="2" applyNumberFormat="1" applyFont="1" applyFill="1" applyBorder="1" applyAlignment="1">
      <alignment horizontal="left" vertical="center" indent="2"/>
    </xf>
    <xf numFmtId="3" fontId="19" fillId="9" borderId="15" xfId="2" applyNumberFormat="1" applyFont="1" applyFill="1" applyBorder="1" applyAlignment="1">
      <alignment horizontal="right" vertical="center"/>
    </xf>
    <xf numFmtId="3" fontId="19" fillId="9" borderId="9" xfId="2" applyNumberFormat="1" applyFont="1" applyFill="1" applyBorder="1" applyAlignment="1">
      <alignment vertical="center"/>
    </xf>
    <xf numFmtId="3" fontId="19" fillId="3" borderId="126" xfId="2" applyNumberFormat="1" applyFont="1" applyFill="1" applyBorder="1" applyAlignment="1">
      <alignment horizontal="left"/>
    </xf>
    <xf numFmtId="3" fontId="19" fillId="3" borderId="76" xfId="2" applyNumberFormat="1" applyFont="1" applyFill="1" applyBorder="1" applyAlignment="1">
      <alignment horizontal="left" wrapText="1"/>
    </xf>
    <xf numFmtId="1" fontId="59" fillId="3" borderId="9" xfId="2" applyNumberFormat="1" applyFont="1" applyFill="1" applyBorder="1" applyAlignment="1">
      <alignment horizontal="right" vertical="center"/>
    </xf>
    <xf numFmtId="3" fontId="18" fillId="3" borderId="9" xfId="2" applyNumberFormat="1" applyFont="1" applyFill="1" applyBorder="1" applyAlignment="1">
      <alignment horizontal="left"/>
    </xf>
    <xf numFmtId="3" fontId="18" fillId="3" borderId="9" xfId="2" applyNumberFormat="1" applyFont="1" applyFill="1" applyBorder="1" applyAlignment="1">
      <alignment horizontal="right" vertical="center"/>
    </xf>
    <xf numFmtId="3" fontId="18" fillId="3" borderId="9" xfId="2" applyNumberFormat="1" applyFont="1" applyFill="1" applyBorder="1" applyAlignment="1">
      <alignment vertical="center"/>
    </xf>
    <xf numFmtId="3" fontId="19" fillId="3" borderId="9" xfId="2" applyNumberFormat="1" applyFont="1" applyFill="1" applyBorder="1" applyAlignment="1">
      <alignment horizontal="right" vertical="center"/>
    </xf>
    <xf numFmtId="3" fontId="19" fillId="3" borderId="9" xfId="2" applyNumberFormat="1" applyFont="1" applyFill="1" applyBorder="1" applyAlignment="1">
      <alignment vertical="center"/>
    </xf>
    <xf numFmtId="1" fontId="60" fillId="9" borderId="74" xfId="2" applyNumberFormat="1" applyFont="1" applyFill="1" applyBorder="1" applyAlignment="1">
      <alignment horizontal="right" vertical="center"/>
    </xf>
    <xf numFmtId="3" fontId="19" fillId="9" borderId="76" xfId="2" applyNumberFormat="1" applyFont="1" applyFill="1" applyBorder="1" applyAlignment="1">
      <alignment horizontal="left"/>
    </xf>
    <xf numFmtId="3" fontId="19" fillId="9" borderId="76" xfId="2" applyNumberFormat="1" applyFont="1" applyFill="1" applyBorder="1" applyAlignment="1">
      <alignment horizontal="right" vertical="center"/>
    </xf>
    <xf numFmtId="3" fontId="19" fillId="9" borderId="76" xfId="2" applyNumberFormat="1" applyFont="1" applyFill="1" applyBorder="1" applyAlignment="1">
      <alignment vertical="center"/>
    </xf>
    <xf numFmtId="2" fontId="19" fillId="9" borderId="77" xfId="2" applyNumberFormat="1" applyFont="1" applyFill="1" applyBorder="1" applyAlignment="1">
      <alignment horizontal="right" vertical="center"/>
    </xf>
    <xf numFmtId="3" fontId="18" fillId="3" borderId="13" xfId="2" applyNumberFormat="1" applyFont="1" applyFill="1" applyBorder="1" applyAlignment="1">
      <alignment horizontal="right" vertical="center"/>
    </xf>
    <xf numFmtId="1" fontId="59" fillId="9" borderId="95" xfId="2" applyNumberFormat="1" applyFont="1" applyFill="1" applyBorder="1" applyAlignment="1">
      <alignment horizontal="right" vertical="center"/>
    </xf>
    <xf numFmtId="3" fontId="19" fillId="9" borderId="12" xfId="2" applyNumberFormat="1" applyFont="1" applyFill="1" applyBorder="1" applyAlignment="1">
      <alignment horizontal="left" wrapText="1"/>
    </xf>
    <xf numFmtId="3" fontId="19" fillId="9" borderId="12" xfId="2" applyNumberFormat="1" applyFont="1" applyFill="1" applyBorder="1" applyAlignment="1">
      <alignment horizontal="right" vertical="center"/>
    </xf>
    <xf numFmtId="3" fontId="19" fillId="9" borderId="12" xfId="2" applyNumberFormat="1" applyFont="1" applyFill="1" applyBorder="1" applyAlignment="1">
      <alignment vertical="center"/>
    </xf>
    <xf numFmtId="4" fontId="19" fillId="9" borderId="86" xfId="2" applyNumberFormat="1" applyFont="1" applyFill="1" applyBorder="1" applyAlignment="1">
      <alignment horizontal="right" vertical="center"/>
    </xf>
    <xf numFmtId="1" fontId="59" fillId="9" borderId="80" xfId="2" applyNumberFormat="1" applyFont="1" applyFill="1" applyBorder="1" applyAlignment="1">
      <alignment horizontal="right" vertical="center"/>
    </xf>
    <xf numFmtId="1" fontId="59" fillId="9" borderId="73" xfId="2" applyNumberFormat="1" applyFont="1" applyFill="1" applyBorder="1" applyAlignment="1">
      <alignment horizontal="right" vertical="center"/>
    </xf>
    <xf numFmtId="3" fontId="62" fillId="9" borderId="5" xfId="2" applyNumberFormat="1" applyFont="1" applyFill="1" applyBorder="1" applyAlignment="1">
      <alignment horizontal="left" vertical="center" indent="2"/>
    </xf>
    <xf numFmtId="3" fontId="19" fillId="9" borderId="5" xfId="2" applyNumberFormat="1" applyFont="1" applyFill="1" applyBorder="1" applyAlignment="1">
      <alignment horizontal="right" vertical="center"/>
    </xf>
    <xf numFmtId="3" fontId="19" fillId="9" borderId="14" xfId="2" applyNumberFormat="1" applyFont="1" applyFill="1" applyBorder="1" applyAlignment="1">
      <alignment vertical="center"/>
    </xf>
    <xf numFmtId="4" fontId="19" fillId="9" borderId="21" xfId="2" applyNumberFormat="1" applyFont="1" applyFill="1" applyBorder="1" applyAlignment="1">
      <alignment horizontal="right" vertical="center"/>
    </xf>
    <xf numFmtId="1" fontId="59" fillId="0" borderId="13" xfId="2" applyNumberFormat="1" applyFont="1" applyBorder="1" applyAlignment="1">
      <alignment horizontal="right" vertical="center"/>
    </xf>
    <xf numFmtId="3" fontId="19" fillId="9" borderId="77" xfId="2" applyNumberFormat="1" applyFont="1" applyFill="1" applyBorder="1" applyAlignment="1">
      <alignment vertical="center"/>
    </xf>
    <xf numFmtId="4" fontId="19" fillId="9" borderId="46" xfId="2" applyNumberFormat="1" applyFont="1" applyFill="1" applyBorder="1" applyAlignment="1">
      <alignment horizontal="right" vertical="center"/>
    </xf>
    <xf numFmtId="3" fontId="18" fillId="0" borderId="13" xfId="2" applyNumberFormat="1" applyFont="1" applyBorder="1" applyAlignment="1">
      <alignment horizontal="right" vertical="center"/>
    </xf>
    <xf numFmtId="4" fontId="19" fillId="0" borderId="86" xfId="2" applyNumberFormat="1" applyFont="1" applyBorder="1" applyAlignment="1">
      <alignment horizontal="right" vertical="center"/>
    </xf>
    <xf numFmtId="3" fontId="18" fillId="0" borderId="13" xfId="2" applyNumberFormat="1" applyFont="1" applyBorder="1" applyAlignment="1">
      <alignment horizontal="left" wrapText="1"/>
    </xf>
    <xf numFmtId="3" fontId="19" fillId="3" borderId="76" xfId="2" applyNumberFormat="1" applyFont="1" applyFill="1" applyBorder="1" applyAlignment="1">
      <alignment vertical="center" shrinkToFit="1"/>
    </xf>
    <xf numFmtId="3" fontId="90" fillId="3" borderId="76" xfId="2" applyNumberFormat="1" applyFont="1" applyFill="1" applyBorder="1" applyAlignment="1">
      <alignment horizontal="right" vertical="center"/>
    </xf>
    <xf numFmtId="3" fontId="90" fillId="3" borderId="76" xfId="2" applyNumberFormat="1" applyFont="1" applyFill="1" applyBorder="1" applyAlignment="1">
      <alignment vertical="center"/>
    </xf>
    <xf numFmtId="3" fontId="89" fillId="3" borderId="76" xfId="2" applyNumberFormat="1" applyFont="1" applyFill="1" applyBorder="1" applyAlignment="1">
      <alignment horizontal="right" vertical="center"/>
    </xf>
    <xf numFmtId="3" fontId="89" fillId="3" borderId="76" xfId="2" applyNumberFormat="1" applyFont="1" applyFill="1" applyBorder="1" applyAlignment="1">
      <alignment vertical="center"/>
    </xf>
    <xf numFmtId="3" fontId="91" fillId="3" borderId="98" xfId="2" applyNumberFormat="1" applyFont="1" applyFill="1" applyBorder="1" applyAlignment="1">
      <alignment horizontal="left" wrapText="1"/>
    </xf>
    <xf numFmtId="3" fontId="92" fillId="3" borderId="76" xfId="2" applyNumberFormat="1" applyFont="1" applyFill="1" applyBorder="1" applyAlignment="1">
      <alignment horizontal="right" vertical="center"/>
    </xf>
    <xf numFmtId="3" fontId="92" fillId="3" borderId="76" xfId="2" applyNumberFormat="1" applyFont="1" applyFill="1" applyBorder="1" applyAlignment="1">
      <alignment vertical="center"/>
    </xf>
    <xf numFmtId="3" fontId="91" fillId="3" borderId="76" xfId="2" applyNumberFormat="1" applyFont="1" applyFill="1" applyBorder="1" applyAlignment="1">
      <alignment horizontal="right" vertical="center"/>
    </xf>
    <xf numFmtId="3" fontId="91" fillId="3" borderId="76" xfId="2" applyNumberFormat="1" applyFont="1" applyFill="1" applyBorder="1" applyAlignment="1">
      <alignment vertical="center"/>
    </xf>
    <xf numFmtId="2" fontId="91" fillId="3" borderId="77" xfId="2" applyNumberFormat="1" applyFont="1" applyFill="1" applyBorder="1" applyAlignment="1">
      <alignment horizontal="right" vertical="center"/>
    </xf>
    <xf numFmtId="1" fontId="93" fillId="3" borderId="74" xfId="2" applyNumberFormat="1" applyFont="1" applyFill="1" applyBorder="1" applyAlignment="1">
      <alignment horizontal="right" vertical="center"/>
    </xf>
    <xf numFmtId="3" fontId="91" fillId="3" borderId="98" xfId="2" applyNumberFormat="1" applyFont="1" applyFill="1" applyBorder="1" applyAlignment="1">
      <alignment horizontal="left"/>
    </xf>
    <xf numFmtId="1" fontId="94" fillId="3" borderId="15" xfId="2" applyNumberFormat="1" applyFont="1" applyFill="1" applyBorder="1" applyAlignment="1">
      <alignment horizontal="right" vertical="center"/>
    </xf>
    <xf numFmtId="3" fontId="92" fillId="3" borderId="15" xfId="2" applyNumberFormat="1" applyFont="1" applyFill="1" applyBorder="1" applyAlignment="1">
      <alignment horizontal="left"/>
    </xf>
    <xf numFmtId="3" fontId="92" fillId="3" borderId="15" xfId="2" applyNumberFormat="1" applyFont="1" applyFill="1" applyBorder="1" applyAlignment="1">
      <alignment horizontal="right" vertical="center"/>
    </xf>
    <xf numFmtId="3" fontId="92" fillId="3" borderId="15" xfId="2" applyNumberFormat="1" applyFont="1" applyFill="1" applyBorder="1" applyAlignment="1">
      <alignment vertical="center"/>
    </xf>
    <xf numFmtId="3" fontId="91" fillId="3" borderId="15" xfId="2" applyNumberFormat="1" applyFont="1" applyFill="1" applyBorder="1" applyAlignment="1">
      <alignment horizontal="right" vertical="center"/>
    </xf>
    <xf numFmtId="3" fontId="91" fillId="3" borderId="15" xfId="2" applyNumberFormat="1" applyFont="1" applyFill="1" applyBorder="1" applyAlignment="1">
      <alignment vertical="center"/>
    </xf>
    <xf numFmtId="4" fontId="91" fillId="3" borderId="84" xfId="2" applyNumberFormat="1" applyFont="1" applyFill="1" applyBorder="1" applyAlignment="1">
      <alignment horizontal="right" vertical="center"/>
    </xf>
    <xf numFmtId="1" fontId="94" fillId="3" borderId="13" xfId="2" applyNumberFormat="1" applyFont="1" applyFill="1" applyBorder="1" applyAlignment="1">
      <alignment horizontal="right" vertical="center"/>
    </xf>
    <xf numFmtId="3" fontId="92" fillId="3" borderId="13" xfId="2" applyNumberFormat="1" applyFont="1" applyFill="1" applyBorder="1" applyAlignment="1">
      <alignment horizontal="left"/>
    </xf>
    <xf numFmtId="3" fontId="92" fillId="3" borderId="13" xfId="2" applyNumberFormat="1" applyFont="1" applyFill="1" applyBorder="1" applyAlignment="1">
      <alignment horizontal="right" vertical="center"/>
    </xf>
    <xf numFmtId="3" fontId="92" fillId="3" borderId="13" xfId="2" applyNumberFormat="1" applyFont="1" applyFill="1" applyBorder="1" applyAlignment="1">
      <alignment vertical="center"/>
    </xf>
    <xf numFmtId="3" fontId="91" fillId="3" borderId="13" xfId="2" applyNumberFormat="1" applyFont="1" applyFill="1" applyBorder="1" applyAlignment="1">
      <alignment horizontal="right" vertical="center"/>
    </xf>
    <xf numFmtId="3" fontId="91" fillId="3" borderId="13" xfId="2" applyNumberFormat="1" applyFont="1" applyFill="1" applyBorder="1" applyAlignment="1">
      <alignment vertical="center"/>
    </xf>
    <xf numFmtId="4" fontId="91" fillId="3" borderId="81" xfId="2" applyNumberFormat="1" applyFont="1" applyFill="1" applyBorder="1" applyAlignment="1">
      <alignment horizontal="right" vertical="center"/>
    </xf>
    <xf numFmtId="1" fontId="94" fillId="3" borderId="17" xfId="2" applyNumberFormat="1" applyFont="1" applyFill="1" applyBorder="1" applyAlignment="1">
      <alignment horizontal="right" vertical="center"/>
    </xf>
    <xf numFmtId="3" fontId="91" fillId="3" borderId="94" xfId="3" applyNumberFormat="1" applyFont="1" applyFill="1" applyBorder="1" applyAlignment="1">
      <alignment vertical="center"/>
    </xf>
    <xf numFmtId="3" fontId="92" fillId="3" borderId="10" xfId="2" applyNumberFormat="1" applyFont="1" applyFill="1" applyBorder="1" applyAlignment="1">
      <alignment horizontal="right" vertical="center"/>
    </xf>
    <xf numFmtId="3" fontId="92" fillId="3" borderId="10" xfId="2" applyNumberFormat="1" applyFont="1" applyFill="1" applyBorder="1" applyAlignment="1">
      <alignment vertical="center"/>
    </xf>
    <xf numFmtId="3" fontId="91" fillId="3" borderId="10" xfId="2" applyNumberFormat="1" applyFont="1" applyFill="1" applyBorder="1" applyAlignment="1">
      <alignment horizontal="right" vertical="center"/>
    </xf>
    <xf numFmtId="3" fontId="91" fillId="3" borderId="10" xfId="2" applyNumberFormat="1" applyFont="1" applyFill="1" applyBorder="1" applyAlignment="1">
      <alignment vertical="center"/>
    </xf>
    <xf numFmtId="4" fontId="91" fillId="3" borderId="77" xfId="2" applyNumberFormat="1" applyFont="1" applyFill="1" applyBorder="1" applyAlignment="1">
      <alignment horizontal="right" vertical="center"/>
    </xf>
    <xf numFmtId="1" fontId="95" fillId="3" borderId="74" xfId="2" applyNumberFormat="1" applyFont="1" applyFill="1" applyBorder="1" applyAlignment="1">
      <alignment horizontal="right" vertical="center"/>
    </xf>
    <xf numFmtId="3" fontId="89" fillId="3" borderId="76" xfId="2" applyNumberFormat="1" applyFont="1" applyFill="1" applyBorder="1" applyAlignment="1">
      <alignment vertical="center" shrinkToFit="1"/>
    </xf>
    <xf numFmtId="4" fontId="89" fillId="3" borderId="77" xfId="2" applyNumberFormat="1" applyFont="1" applyFill="1" applyBorder="1" applyAlignment="1">
      <alignment horizontal="right" vertical="center"/>
    </xf>
    <xf numFmtId="1" fontId="95" fillId="0" borderId="74" xfId="2" applyNumberFormat="1" applyFont="1" applyBorder="1" applyAlignment="1">
      <alignment horizontal="right" vertical="center"/>
    </xf>
    <xf numFmtId="3" fontId="89" fillId="3" borderId="76" xfId="2" applyNumberFormat="1" applyFont="1" applyFill="1" applyBorder="1" applyAlignment="1">
      <alignment horizontal="left" wrapText="1"/>
    </xf>
    <xf numFmtId="3" fontId="96" fillId="3" borderId="76" xfId="2" applyNumberFormat="1" applyFont="1" applyFill="1" applyBorder="1" applyAlignment="1">
      <alignment vertical="center" shrinkToFit="1"/>
    </xf>
    <xf numFmtId="3" fontId="90" fillId="0" borderId="76" xfId="2" applyNumberFormat="1" applyFont="1" applyBorder="1" applyAlignment="1">
      <alignment horizontal="right" vertical="center"/>
    </xf>
    <xf numFmtId="3" fontId="18" fillId="0" borderId="76" xfId="2" applyNumberFormat="1" applyFont="1" applyBorder="1" applyAlignment="1">
      <alignment horizontal="right" vertical="center"/>
    </xf>
    <xf numFmtId="3" fontId="18" fillId="0" borderId="15" xfId="2" applyNumberFormat="1" applyFont="1" applyBorder="1" applyAlignment="1">
      <alignment horizontal="right" vertical="center"/>
    </xf>
    <xf numFmtId="0" fontId="97" fillId="0" borderId="15" xfId="0" applyFont="1" applyBorder="1" applyAlignment="1">
      <alignment horizontal="left" vertical="center" shrinkToFit="1"/>
    </xf>
    <xf numFmtId="3" fontId="97" fillId="0" borderId="84" xfId="0" applyNumberFormat="1" applyFont="1" applyBorder="1" applyAlignment="1">
      <alignment horizontal="right" vertical="center" shrinkToFit="1"/>
    </xf>
    <xf numFmtId="3" fontId="97" fillId="0" borderId="128" xfId="0" applyNumberFormat="1" applyFont="1" applyBorder="1" applyAlignment="1">
      <alignment horizontal="right" vertical="center" shrinkToFit="1"/>
    </xf>
    <xf numFmtId="0" fontId="98" fillId="7" borderId="15" xfId="0" applyFont="1" applyFill="1" applyBorder="1" applyAlignment="1">
      <alignment horizontal="left" vertical="center" shrinkToFit="1"/>
    </xf>
    <xf numFmtId="3" fontId="98" fillId="7" borderId="84" xfId="0" applyNumberFormat="1" applyFont="1" applyFill="1" applyBorder="1" applyAlignment="1">
      <alignment horizontal="right" vertical="center" shrinkToFit="1"/>
    </xf>
    <xf numFmtId="0" fontId="99" fillId="3" borderId="15" xfId="0" applyFont="1" applyFill="1" applyBorder="1" applyAlignment="1">
      <alignment horizontal="left" vertical="center" shrinkToFit="1"/>
    </xf>
    <xf numFmtId="3" fontId="97" fillId="3" borderId="84" xfId="0" applyNumberFormat="1" applyFont="1" applyFill="1" applyBorder="1" applyAlignment="1">
      <alignment horizontal="right" vertical="center" shrinkToFit="1"/>
    </xf>
    <xf numFmtId="3" fontId="97" fillId="7" borderId="84" xfId="0" applyNumberFormat="1" applyFont="1" applyFill="1" applyBorder="1" applyAlignment="1">
      <alignment horizontal="right" vertical="center" shrinkToFit="1"/>
    </xf>
    <xf numFmtId="49" fontId="98" fillId="7" borderId="15" xfId="0" applyNumberFormat="1" applyFont="1" applyFill="1" applyBorder="1" applyAlignment="1">
      <alignment vertical="center" shrinkToFit="1"/>
    </xf>
    <xf numFmtId="49" fontId="99" fillId="3" borderId="15" xfId="0" applyNumberFormat="1" applyFont="1" applyFill="1" applyBorder="1" applyAlignment="1">
      <alignment vertical="center" shrinkToFit="1"/>
    </xf>
    <xf numFmtId="49" fontId="99" fillId="0" borderId="15" xfId="0" applyNumberFormat="1" applyFont="1" applyBorder="1" applyAlignment="1">
      <alignment vertical="center" shrinkToFit="1"/>
    </xf>
    <xf numFmtId="49" fontId="99" fillId="0" borderId="15" xfId="0" applyNumberFormat="1" applyFont="1" applyBorder="1" applyAlignment="1">
      <alignment vertical="center" wrapText="1"/>
    </xf>
    <xf numFmtId="3" fontId="18" fillId="0" borderId="16" xfId="2" applyNumberFormat="1" applyFont="1" applyBorder="1" applyAlignment="1">
      <alignment horizontal="right" vertical="center"/>
    </xf>
    <xf numFmtId="0" fontId="98" fillId="0" borderId="15" xfId="0" applyFont="1" applyBorder="1" applyAlignment="1">
      <alignment horizontal="left" vertical="center" shrinkToFit="1"/>
    </xf>
    <xf numFmtId="3" fontId="98" fillId="0" borderId="84" xfId="0" applyNumberFormat="1" applyFont="1" applyBorder="1" applyAlignment="1">
      <alignment horizontal="right" vertical="center" shrinkToFit="1"/>
    </xf>
    <xf numFmtId="49" fontId="98" fillId="0" borderId="15" xfId="0" applyNumberFormat="1" applyFont="1" applyBorder="1" applyAlignment="1">
      <alignment vertical="center" wrapText="1"/>
    </xf>
    <xf numFmtId="49" fontId="98" fillId="0" borderId="15" xfId="0" applyNumberFormat="1" applyFont="1" applyBorder="1" applyAlignment="1">
      <alignment vertical="center" shrinkToFit="1"/>
    </xf>
    <xf numFmtId="49" fontId="97" fillId="0" borderId="15" xfId="0" applyNumberFormat="1" applyFont="1" applyBorder="1" applyAlignment="1">
      <alignment vertical="center" shrinkToFit="1"/>
    </xf>
    <xf numFmtId="165" fontId="97" fillId="0" borderId="84" xfId="0" applyNumberFormat="1" applyFont="1" applyBorder="1"/>
    <xf numFmtId="3" fontId="92" fillId="0" borderId="76" xfId="2" applyNumberFormat="1" applyFont="1" applyBorder="1" applyAlignment="1">
      <alignment horizontal="right" vertical="center"/>
    </xf>
    <xf numFmtId="0" fontId="98" fillId="8" borderId="15" xfId="0" applyFont="1" applyFill="1" applyBorder="1" applyAlignment="1">
      <alignment horizontal="left" vertical="center" shrinkToFit="1"/>
    </xf>
    <xf numFmtId="3" fontId="98" fillId="8" borderId="84" xfId="0" applyNumberFormat="1" applyFont="1" applyFill="1" applyBorder="1" applyAlignment="1">
      <alignment horizontal="right" vertical="center" shrinkToFit="1"/>
    </xf>
    <xf numFmtId="3" fontId="98" fillId="3" borderId="84" xfId="0" applyNumberFormat="1" applyFont="1" applyFill="1" applyBorder="1" applyAlignment="1">
      <alignment horizontal="right" vertical="center" shrinkToFit="1"/>
    </xf>
    <xf numFmtId="49" fontId="100" fillId="8" borderId="15" xfId="0" applyNumberFormat="1" applyFont="1" applyFill="1" applyBorder="1" applyAlignment="1">
      <alignment vertical="center" shrinkToFit="1"/>
    </xf>
    <xf numFmtId="3" fontId="97" fillId="8" borderId="84" xfId="0" applyNumberFormat="1" applyFont="1" applyFill="1" applyBorder="1" applyAlignment="1">
      <alignment horizontal="right" vertical="center" shrinkToFit="1"/>
    </xf>
    <xf numFmtId="49" fontId="99" fillId="0" borderId="15" xfId="0" quotePrefix="1" applyNumberFormat="1" applyFont="1" applyBorder="1" applyAlignment="1">
      <alignment vertical="center" shrinkToFit="1"/>
    </xf>
    <xf numFmtId="49" fontId="100" fillId="10" borderId="15" xfId="0" applyNumberFormat="1" applyFont="1" applyFill="1" applyBorder="1" applyAlignment="1">
      <alignment vertical="center" shrinkToFit="1"/>
    </xf>
    <xf numFmtId="3" fontId="97" fillId="10" borderId="84" xfId="0" applyNumberFormat="1" applyFont="1" applyFill="1" applyBorder="1" applyAlignment="1">
      <alignment horizontal="right" vertical="center" shrinkToFit="1"/>
    </xf>
    <xf numFmtId="0" fontId="99" fillId="0" borderId="15" xfId="0" applyFont="1" applyBorder="1"/>
    <xf numFmtId="3" fontId="97" fillId="0" borderId="84" xfId="0" applyNumberFormat="1" applyFont="1" applyBorder="1"/>
    <xf numFmtId="49" fontId="97" fillId="0" borderId="15" xfId="0" applyNumberFormat="1" applyFont="1" applyBorder="1" applyAlignment="1">
      <alignment horizontal="justify" vertical="center" shrinkToFit="1"/>
    </xf>
    <xf numFmtId="49" fontId="98" fillId="7" borderId="15" xfId="0" applyNumberFormat="1" applyFont="1" applyFill="1" applyBorder="1" applyAlignment="1">
      <alignment vertical="center" wrapText="1"/>
    </xf>
    <xf numFmtId="42" fontId="12" fillId="0" borderId="0" xfId="0" applyNumberFormat="1" applyFont="1" applyAlignment="1">
      <alignment vertical="center" shrinkToFit="1"/>
    </xf>
    <xf numFmtId="0" fontId="102" fillId="0" borderId="15" xfId="0" applyFont="1" applyBorder="1" applyAlignment="1">
      <alignment vertical="center" shrinkToFit="1"/>
    </xf>
    <xf numFmtId="0" fontId="103" fillId="0" borderId="15" xfId="0" applyFont="1" applyBorder="1" applyAlignment="1">
      <alignment horizontal="center" vertical="center" shrinkToFit="1"/>
    </xf>
    <xf numFmtId="0" fontId="98" fillId="0" borderId="15" xfId="0" applyFont="1" applyBorder="1" applyAlignment="1">
      <alignment horizontal="center" vertical="center" shrinkToFit="1"/>
    </xf>
    <xf numFmtId="0" fontId="98" fillId="7" borderId="15" xfId="0" applyFont="1" applyFill="1" applyBorder="1" applyAlignment="1">
      <alignment horizontal="center" vertical="center" shrinkToFit="1"/>
    </xf>
    <xf numFmtId="1" fontId="97" fillId="0" borderId="15" xfId="0" applyNumberFormat="1" applyFont="1" applyBorder="1" applyAlignment="1">
      <alignment horizontal="center" vertical="center" shrinkToFit="1"/>
    </xf>
    <xf numFmtId="0" fontId="98" fillId="3" borderId="15" xfId="0" applyFont="1" applyFill="1" applyBorder="1" applyAlignment="1">
      <alignment horizontal="center" vertical="center" shrinkToFit="1"/>
    </xf>
    <xf numFmtId="0" fontId="97" fillId="0" borderId="15" xfId="0" applyFont="1" applyBorder="1" applyAlignment="1">
      <alignment horizontal="center" vertical="center" shrinkToFit="1"/>
    </xf>
    <xf numFmtId="0" fontId="98" fillId="7" borderId="15" xfId="0" applyFont="1" applyFill="1" applyBorder="1"/>
    <xf numFmtId="0" fontId="98" fillId="0" borderId="89" xfId="0" applyFont="1" applyBorder="1" applyAlignment="1">
      <alignment horizontal="center" vertical="center" shrinkToFit="1"/>
    </xf>
    <xf numFmtId="3" fontId="98" fillId="0" borderId="115" xfId="2" applyNumberFormat="1" applyFont="1" applyBorder="1" applyAlignment="1">
      <alignment horizontal="left"/>
    </xf>
    <xf numFmtId="0" fontId="97" fillId="3" borderId="13" xfId="0" applyFont="1" applyFill="1" applyBorder="1"/>
    <xf numFmtId="49" fontId="97" fillId="0" borderId="15" xfId="0" applyNumberFormat="1" applyFont="1" applyBorder="1" applyAlignment="1">
      <alignment horizontal="left" vertical="center" indent="1" shrinkToFit="1"/>
    </xf>
    <xf numFmtId="1" fontId="98" fillId="0" borderId="15" xfId="0" applyNumberFormat="1" applyFont="1" applyBorder="1" applyAlignment="1">
      <alignment horizontal="center" vertical="center" shrinkToFit="1"/>
    </xf>
    <xf numFmtId="1" fontId="97" fillId="0" borderId="15" xfId="0" quotePrefix="1" applyNumberFormat="1" applyFont="1" applyBorder="1" applyAlignment="1">
      <alignment horizontal="center" vertical="center" shrinkToFit="1"/>
    </xf>
    <xf numFmtId="3" fontId="12" fillId="3" borderId="17" xfId="0" applyNumberFormat="1" applyFont="1" applyFill="1" applyBorder="1" applyAlignment="1">
      <alignment horizontal="center" vertical="center"/>
    </xf>
    <xf numFmtId="3" fontId="14" fillId="3" borderId="4" xfId="0" applyNumberFormat="1" applyFont="1" applyFill="1" applyBorder="1" applyAlignment="1">
      <alignment vertical="center"/>
    </xf>
    <xf numFmtId="3" fontId="21" fillId="7" borderId="15" xfId="0" applyNumberFormat="1" applyFont="1" applyFill="1" applyBorder="1" applyAlignment="1">
      <alignment horizontal="center" vertical="center"/>
    </xf>
    <xf numFmtId="3" fontId="23" fillId="3" borderId="15" xfId="0" applyNumberFormat="1" applyFont="1" applyFill="1" applyBorder="1" applyAlignment="1">
      <alignment vertical="center" wrapText="1"/>
    </xf>
    <xf numFmtId="3" fontId="23" fillId="3" borderId="15" xfId="0" applyNumberFormat="1" applyFont="1" applyFill="1" applyBorder="1" applyAlignment="1">
      <alignment horizontal="left" vertical="top" readingOrder="1"/>
    </xf>
    <xf numFmtId="3" fontId="23" fillId="0" borderId="15" xfId="0" applyNumberFormat="1" applyFont="1" applyBorder="1" applyAlignment="1">
      <alignment horizontal="right" vertical="center"/>
    </xf>
    <xf numFmtId="3" fontId="47" fillId="9" borderId="15" xfId="0" applyNumberFormat="1" applyFont="1" applyFill="1" applyBorder="1" applyAlignment="1">
      <alignment horizontal="right" vertical="center"/>
    </xf>
    <xf numFmtId="3" fontId="66" fillId="9" borderId="15" xfId="0" applyNumberFormat="1" applyFont="1" applyFill="1" applyBorder="1" applyAlignment="1">
      <alignment vertical="center"/>
    </xf>
    <xf numFmtId="3" fontId="24" fillId="4" borderId="15" xfId="0" applyNumberFormat="1" applyFont="1" applyFill="1" applyBorder="1" applyAlignment="1">
      <alignment horizontal="right" vertical="center"/>
    </xf>
    <xf numFmtId="0" fontId="24" fillId="3" borderId="15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left" vertical="center" wrapText="1"/>
    </xf>
    <xf numFmtId="0" fontId="23" fillId="0" borderId="88" xfId="0" applyFont="1" applyBorder="1" applyAlignment="1">
      <alignment horizontal="center"/>
    </xf>
    <xf numFmtId="41" fontId="23" fillId="0" borderId="14" xfId="0" applyNumberFormat="1" applyFont="1" applyBorder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right" vertical="center"/>
    </xf>
    <xf numFmtId="0" fontId="24" fillId="0" borderId="94" xfId="0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3" fillId="0" borderId="15" xfId="0" applyFont="1" applyBorder="1" applyAlignment="1">
      <alignment vertical="center" wrapText="1"/>
    </xf>
    <xf numFmtId="41" fontId="23" fillId="0" borderId="15" xfId="0" applyNumberFormat="1" applyFont="1" applyBorder="1" applyAlignment="1">
      <alignment vertical="center"/>
    </xf>
    <xf numFmtId="0" fontId="23" fillId="0" borderId="84" xfId="0" applyFont="1" applyBorder="1" applyAlignment="1">
      <alignment horizontal="center" vertical="center"/>
    </xf>
    <xf numFmtId="0" fontId="23" fillId="3" borderId="14" xfId="0" applyFont="1" applyFill="1" applyBorder="1"/>
    <xf numFmtId="0" fontId="23" fillId="0" borderId="8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3" fillId="0" borderId="0" xfId="0" applyFont="1" applyAlignment="1">
      <alignment wrapText="1"/>
    </xf>
    <xf numFmtId="41" fontId="23" fillId="0" borderId="15" xfId="0" applyNumberFormat="1" applyFont="1" applyBorder="1"/>
    <xf numFmtId="0" fontId="30" fillId="0" borderId="15" xfId="0" applyFont="1" applyBorder="1" applyAlignment="1">
      <alignment wrapText="1"/>
    </xf>
    <xf numFmtId="0" fontId="23" fillId="11" borderId="89" xfId="5" applyFont="1" applyFill="1" applyBorder="1" applyAlignment="1">
      <alignment horizontal="left" wrapText="1" shrinkToFit="1"/>
    </xf>
    <xf numFmtId="3" fontId="23" fillId="0" borderId="15" xfId="0" applyNumberFormat="1" applyFont="1" applyBorder="1"/>
    <xf numFmtId="3" fontId="23" fillId="0" borderId="15" xfId="0" applyNumberFormat="1" applyFont="1" applyBorder="1" applyAlignment="1">
      <alignment horizontal="right"/>
    </xf>
    <xf numFmtId="0" fontId="23" fillId="0" borderId="89" xfId="5" applyFont="1" applyBorder="1" applyAlignment="1">
      <alignment horizontal="left" wrapText="1" shrinkToFit="1"/>
    </xf>
    <xf numFmtId="0" fontId="23" fillId="0" borderId="15" xfId="5" applyFont="1" applyBorder="1" applyAlignment="1">
      <alignment horizontal="left" wrapText="1" shrinkToFit="1"/>
    </xf>
    <xf numFmtId="3" fontId="23" fillId="0" borderId="9" xfId="0" applyNumberFormat="1" applyFont="1" applyBorder="1"/>
    <xf numFmtId="3" fontId="23" fillId="0" borderId="9" xfId="0" applyNumberFormat="1" applyFont="1" applyBorder="1" applyAlignment="1">
      <alignment horizontal="right"/>
    </xf>
    <xf numFmtId="3" fontId="51" fillId="0" borderId="15" xfId="2" applyNumberFormat="1" applyFont="1" applyBorder="1" applyAlignment="1">
      <alignment vertical="center"/>
    </xf>
    <xf numFmtId="1" fontId="11" fillId="0" borderId="16" xfId="2" applyNumberFormat="1" applyFont="1" applyBorder="1" applyAlignment="1">
      <alignment horizontal="right" vertical="center"/>
    </xf>
    <xf numFmtId="3" fontId="62" fillId="0" borderId="9" xfId="2" applyNumberFormat="1" applyFont="1" applyBorder="1" applyAlignment="1">
      <alignment horizontal="left" vertical="center" indent="2"/>
    </xf>
    <xf numFmtId="3" fontId="19" fillId="0" borderId="16" xfId="2" applyNumberFormat="1" applyFont="1" applyBorder="1" applyAlignment="1">
      <alignment horizontal="right" vertical="center"/>
    </xf>
    <xf numFmtId="3" fontId="19" fillId="0" borderId="92" xfId="2" applyNumberFormat="1" applyFont="1" applyBorder="1" applyAlignment="1">
      <alignment horizontal="right" vertical="center"/>
    </xf>
    <xf numFmtId="1" fontId="10" fillId="6" borderId="76" xfId="2" applyNumberFormat="1" applyFont="1" applyFill="1" applyBorder="1" applyAlignment="1">
      <alignment horizontal="right" vertical="center"/>
    </xf>
    <xf numFmtId="3" fontId="19" fillId="6" borderId="76" xfId="2" applyNumberFormat="1" applyFont="1" applyFill="1" applyBorder="1" applyAlignment="1">
      <alignment horizontal="left" vertical="center" indent="1"/>
    </xf>
    <xf numFmtId="3" fontId="59" fillId="0" borderId="89" xfId="2" applyNumberFormat="1" applyFont="1" applyBorder="1" applyAlignment="1">
      <alignment vertical="center"/>
    </xf>
    <xf numFmtId="3" fontId="19" fillId="0" borderId="76" xfId="2" applyNumberFormat="1" applyFont="1" applyBorder="1" applyAlignment="1">
      <alignment horizontal="left"/>
    </xf>
    <xf numFmtId="3" fontId="19" fillId="0" borderId="76" xfId="2" applyNumberFormat="1" applyFont="1" applyBorder="1" applyAlignment="1">
      <alignment horizontal="right" vertical="center"/>
    </xf>
    <xf numFmtId="3" fontId="19" fillId="0" borderId="76" xfId="2" applyNumberFormat="1" applyFont="1" applyBorder="1" applyAlignment="1">
      <alignment vertical="center"/>
    </xf>
    <xf numFmtId="4" fontId="19" fillId="0" borderId="77" xfId="2" applyNumberFormat="1" applyFont="1" applyBorder="1" applyAlignment="1">
      <alignment horizontal="right" vertical="center"/>
    </xf>
    <xf numFmtId="3" fontId="59" fillId="0" borderId="13" xfId="2" applyNumberFormat="1" applyFont="1" applyBorder="1" applyAlignment="1">
      <alignment vertical="center"/>
    </xf>
    <xf numFmtId="1" fontId="104" fillId="0" borderId="13" xfId="2" applyNumberFormat="1" applyFont="1" applyBorder="1" applyAlignment="1">
      <alignment horizontal="right" vertical="center"/>
    </xf>
    <xf numFmtId="3" fontId="62" fillId="3" borderId="13" xfId="2" applyNumberFormat="1" applyFont="1" applyFill="1" applyBorder="1" applyAlignment="1">
      <alignment horizontal="left"/>
    </xf>
    <xf numFmtId="3" fontId="62" fillId="0" borderId="13" xfId="2" applyNumberFormat="1" applyFont="1" applyBorder="1" applyAlignment="1">
      <alignment horizontal="right" vertical="center"/>
    </xf>
    <xf numFmtId="3" fontId="62" fillId="3" borderId="13" xfId="2" applyNumberFormat="1" applyFont="1" applyFill="1" applyBorder="1" applyAlignment="1">
      <alignment horizontal="right" vertical="center"/>
    </xf>
    <xf numFmtId="4" fontId="19" fillId="0" borderId="81" xfId="2" applyNumberFormat="1" applyFont="1" applyBorder="1" applyAlignment="1">
      <alignment horizontal="right" vertical="center"/>
    </xf>
    <xf numFmtId="1" fontId="104" fillId="0" borderId="15" xfId="2" applyNumberFormat="1" applyFont="1" applyBorder="1" applyAlignment="1">
      <alignment horizontal="right" vertical="center"/>
    </xf>
    <xf numFmtId="3" fontId="62" fillId="0" borderId="15" xfId="2" applyNumberFormat="1" applyFont="1" applyBorder="1" applyAlignment="1">
      <alignment horizontal="left"/>
    </xf>
    <xf numFmtId="3" fontId="62" fillId="0" borderId="15" xfId="2" applyNumberFormat="1" applyFont="1" applyBorder="1" applyAlignment="1">
      <alignment horizontal="right" vertical="center"/>
    </xf>
    <xf numFmtId="4" fontId="19" fillId="0" borderId="84" xfId="2" applyNumberFormat="1" applyFont="1" applyBorder="1" applyAlignment="1">
      <alignment horizontal="right" vertical="center"/>
    </xf>
    <xf numFmtId="3" fontId="18" fillId="0" borderId="15" xfId="2" applyNumberFormat="1" applyFont="1" applyBorder="1" applyAlignment="1">
      <alignment vertical="center" shrinkToFit="1"/>
    </xf>
    <xf numFmtId="3" fontId="19" fillId="5" borderId="76" xfId="2" applyNumberFormat="1" applyFont="1" applyFill="1" applyBorder="1" applyAlignment="1">
      <alignment horizontal="right" vertical="center"/>
    </xf>
    <xf numFmtId="3" fontId="19" fillId="5" borderId="5" xfId="2" applyNumberFormat="1" applyFont="1" applyFill="1" applyBorder="1" applyAlignment="1">
      <alignment horizontal="right" vertical="center"/>
    </xf>
    <xf numFmtId="3" fontId="19" fillId="5" borderId="131" xfId="2" applyNumberFormat="1" applyFont="1" applyFill="1" applyBorder="1" applyAlignment="1">
      <alignment horizontal="right" vertical="center"/>
    </xf>
    <xf numFmtId="3" fontId="19" fillId="5" borderId="75" xfId="2" applyNumberFormat="1" applyFont="1" applyFill="1" applyBorder="1" applyAlignment="1">
      <alignment horizontal="right" vertical="center"/>
    </xf>
    <xf numFmtId="4" fontId="19" fillId="5" borderId="77" xfId="2" applyNumberFormat="1" applyFont="1" applyFill="1" applyBorder="1" applyAlignment="1">
      <alignment horizontal="right" vertical="center"/>
    </xf>
    <xf numFmtId="3" fontId="19" fillId="4" borderId="5" xfId="2" applyNumberFormat="1" applyFont="1" applyFill="1" applyBorder="1" applyAlignment="1">
      <alignment horizontal="right" vertical="center"/>
    </xf>
    <xf numFmtId="165" fontId="19" fillId="4" borderId="5" xfId="2" applyNumberFormat="1" applyFont="1" applyFill="1" applyBorder="1" applyAlignment="1">
      <alignment horizontal="right" vertical="center"/>
    </xf>
    <xf numFmtId="3" fontId="19" fillId="4" borderId="5" xfId="2" applyNumberFormat="1" applyFont="1" applyFill="1" applyBorder="1" applyAlignment="1">
      <alignment vertical="center"/>
    </xf>
    <xf numFmtId="3" fontId="62" fillId="4" borderId="76" xfId="2" applyNumberFormat="1" applyFont="1" applyFill="1" applyBorder="1" applyAlignment="1">
      <alignment vertical="center"/>
    </xf>
    <xf numFmtId="3" fontId="63" fillId="4" borderId="76" xfId="2" applyNumberFormat="1" applyFont="1" applyFill="1" applyBorder="1" applyAlignment="1">
      <alignment vertical="center"/>
    </xf>
    <xf numFmtId="4" fontId="62" fillId="4" borderId="77" xfId="2" applyNumberFormat="1" applyFont="1" applyFill="1" applyBorder="1" applyAlignment="1">
      <alignment vertical="center"/>
    </xf>
    <xf numFmtId="3" fontId="62" fillId="4" borderId="10" xfId="2" applyNumberFormat="1" applyFont="1" applyFill="1" applyBorder="1" applyAlignment="1">
      <alignment vertical="center"/>
    </xf>
    <xf numFmtId="3" fontId="62" fillId="4" borderId="19" xfId="2" applyNumberFormat="1" applyFont="1" applyFill="1" applyBorder="1" applyAlignment="1">
      <alignment vertical="center"/>
    </xf>
    <xf numFmtId="3" fontId="62" fillId="4" borderId="6" xfId="2" applyNumberFormat="1" applyFont="1" applyFill="1" applyBorder="1" applyAlignment="1">
      <alignment vertical="center"/>
    </xf>
    <xf numFmtId="3" fontId="62" fillId="4" borderId="13" xfId="2" applyNumberFormat="1" applyFont="1" applyFill="1" applyBorder="1" applyAlignment="1">
      <alignment vertical="center"/>
    </xf>
    <xf numFmtId="3" fontId="62" fillId="4" borderId="9" xfId="2" applyNumberFormat="1" applyFont="1" applyFill="1" applyBorder="1" applyAlignment="1">
      <alignment vertical="center"/>
    </xf>
    <xf numFmtId="3" fontId="63" fillId="4" borderId="9" xfId="2" applyNumberFormat="1" applyFont="1" applyFill="1" applyBorder="1" applyAlignment="1">
      <alignment vertical="center"/>
    </xf>
    <xf numFmtId="3" fontId="63" fillId="4" borderId="14" xfId="2" applyNumberFormat="1" applyFont="1" applyFill="1" applyBorder="1" applyAlignment="1">
      <alignment vertical="center"/>
    </xf>
    <xf numFmtId="3" fontId="59" fillId="9" borderId="10" xfId="2" applyNumberFormat="1" applyFont="1" applyFill="1" applyBorder="1" applyAlignment="1">
      <alignment vertical="center"/>
    </xf>
    <xf numFmtId="1" fontId="59" fillId="9" borderId="10" xfId="2" applyNumberFormat="1" applyFont="1" applyFill="1" applyBorder="1" applyAlignment="1">
      <alignment horizontal="right" vertical="center"/>
    </xf>
    <xf numFmtId="3" fontId="19" fillId="9" borderId="10" xfId="3" applyNumberFormat="1" applyFont="1" applyFill="1" applyBorder="1" applyAlignment="1">
      <alignment vertical="center" shrinkToFit="1"/>
    </xf>
    <xf numFmtId="3" fontId="62" fillId="9" borderId="15" xfId="2" applyNumberFormat="1" applyFont="1" applyFill="1" applyBorder="1" applyAlignment="1">
      <alignment horizontal="left"/>
    </xf>
    <xf numFmtId="3" fontId="19" fillId="9" borderId="10" xfId="2" applyNumberFormat="1" applyFont="1" applyFill="1" applyBorder="1" applyAlignment="1">
      <alignment horizontal="right" vertical="center"/>
    </xf>
    <xf numFmtId="3" fontId="19" fillId="9" borderId="13" xfId="2" applyNumberFormat="1" applyFont="1" applyFill="1" applyBorder="1" applyAlignment="1">
      <alignment vertical="center"/>
    </xf>
    <xf numFmtId="3" fontId="59" fillId="9" borderId="15" xfId="2" applyNumberFormat="1" applyFont="1" applyFill="1" applyBorder="1" applyAlignment="1">
      <alignment vertical="center"/>
    </xf>
    <xf numFmtId="1" fontId="59" fillId="9" borderId="16" xfId="2" applyNumberFormat="1" applyFont="1" applyFill="1" applyBorder="1" applyAlignment="1">
      <alignment horizontal="right" vertical="center"/>
    </xf>
    <xf numFmtId="3" fontId="62" fillId="9" borderId="16" xfId="2" applyNumberFormat="1" applyFont="1" applyFill="1" applyBorder="1" applyAlignment="1">
      <alignment horizontal="left"/>
    </xf>
    <xf numFmtId="3" fontId="19" fillId="9" borderId="16" xfId="2" applyNumberFormat="1" applyFont="1" applyFill="1" applyBorder="1" applyAlignment="1">
      <alignment horizontal="right" vertical="center"/>
    </xf>
    <xf numFmtId="3" fontId="19" fillId="9" borderId="9" xfId="2" applyNumberFormat="1" applyFont="1" applyFill="1" applyBorder="1" applyAlignment="1">
      <alignment horizontal="right" vertical="center"/>
    </xf>
    <xf numFmtId="4" fontId="19" fillId="9" borderId="85" xfId="2" applyNumberFormat="1" applyFont="1" applyFill="1" applyBorder="1" applyAlignment="1">
      <alignment horizontal="right" vertical="center"/>
    </xf>
    <xf numFmtId="1" fontId="59" fillId="0" borderId="83" xfId="2" applyNumberFormat="1" applyFont="1" applyBorder="1" applyAlignment="1">
      <alignment vertical="center"/>
    </xf>
    <xf numFmtId="3" fontId="59" fillId="9" borderId="105" xfId="2" applyNumberFormat="1" applyFont="1" applyFill="1" applyBorder="1" applyAlignment="1">
      <alignment horizontal="center" vertical="center"/>
    </xf>
    <xf numFmtId="3" fontId="59" fillId="9" borderId="83" xfId="2" applyNumberFormat="1" applyFont="1" applyFill="1" applyBorder="1" applyAlignment="1">
      <alignment horizontal="center" vertical="center"/>
    </xf>
    <xf numFmtId="3" fontId="60" fillId="9" borderId="83" xfId="2" applyNumberFormat="1" applyFont="1" applyFill="1" applyBorder="1" applyAlignment="1">
      <alignment horizontal="center" vertical="center"/>
    </xf>
    <xf numFmtId="1" fontId="59" fillId="3" borderId="15" xfId="2" applyNumberFormat="1" applyFont="1" applyFill="1" applyBorder="1" applyAlignment="1">
      <alignment vertical="center"/>
    </xf>
    <xf numFmtId="0" fontId="48" fillId="0" borderId="0" xfId="0" applyFont="1" applyAlignment="1">
      <alignment horizontal="center" vertical="center"/>
    </xf>
    <xf numFmtId="3" fontId="48" fillId="0" borderId="0" xfId="0" applyNumberFormat="1" applyFont="1" applyAlignment="1">
      <alignment vertical="center"/>
    </xf>
    <xf numFmtId="0" fontId="84" fillId="0" borderId="0" xfId="0" applyFont="1" applyAlignment="1">
      <alignment vertical="center"/>
    </xf>
    <xf numFmtId="3" fontId="12" fillId="3" borderId="15" xfId="0" applyNumberFormat="1" applyFont="1" applyFill="1" applyBorder="1" applyAlignment="1">
      <alignment horizontal="center" vertical="center"/>
    </xf>
    <xf numFmtId="3" fontId="34" fillId="3" borderId="15" xfId="0" applyNumberFormat="1" applyFont="1" applyFill="1" applyBorder="1" applyAlignment="1">
      <alignment horizontal="center" vertical="center"/>
    </xf>
    <xf numFmtId="3" fontId="9" fillId="13" borderId="0" xfId="0" applyNumberFormat="1" applyFont="1" applyFill="1" applyAlignment="1">
      <alignment vertical="center"/>
    </xf>
    <xf numFmtId="4" fontId="71" fillId="3" borderId="84" xfId="2" applyNumberFormat="1" applyFont="1" applyFill="1" applyBorder="1" applyAlignment="1">
      <alignment horizontal="right" vertical="center"/>
    </xf>
    <xf numFmtId="1" fontId="54" fillId="3" borderId="13" xfId="2" applyNumberFormat="1" applyFont="1" applyFill="1" applyBorder="1" applyAlignment="1">
      <alignment horizontal="right" vertical="center"/>
    </xf>
    <xf numFmtId="4" fontId="71" fillId="3" borderId="81" xfId="2" applyNumberFormat="1" applyFont="1" applyFill="1" applyBorder="1" applyAlignment="1">
      <alignment horizontal="right" vertical="center"/>
    </xf>
    <xf numFmtId="3" fontId="24" fillId="3" borderId="15" xfId="0" applyNumberFormat="1" applyFont="1" applyFill="1" applyBorder="1" applyAlignment="1">
      <alignment horizontal="left" vertical="center"/>
    </xf>
    <xf numFmtId="0" fontId="100" fillId="7" borderId="15" xfId="0" applyFont="1" applyFill="1" applyBorder="1" applyAlignment="1">
      <alignment horizontal="left" vertical="center" shrinkToFit="1"/>
    </xf>
    <xf numFmtId="1" fontId="23" fillId="7" borderId="15" xfId="0" applyNumberFormat="1" applyFont="1" applyFill="1" applyBorder="1" applyAlignment="1">
      <alignment horizontal="center" vertical="center" shrinkToFit="1"/>
    </xf>
    <xf numFmtId="165" fontId="24" fillId="7" borderId="84" xfId="0" applyNumberFormat="1" applyFont="1" applyFill="1" applyBorder="1"/>
    <xf numFmtId="49" fontId="24" fillId="7" borderId="15" xfId="0" applyNumberFormat="1" applyFont="1" applyFill="1" applyBorder="1" applyAlignment="1">
      <alignment vertical="center" shrinkToFit="1"/>
    </xf>
    <xf numFmtId="3" fontId="70" fillId="3" borderId="76" xfId="2" applyNumberFormat="1" applyFont="1" applyFill="1" applyBorder="1" applyAlignment="1">
      <alignment vertical="center"/>
    </xf>
    <xf numFmtId="3" fontId="70" fillId="3" borderId="76" xfId="2" applyNumberFormat="1" applyFont="1" applyFill="1" applyBorder="1" applyAlignment="1">
      <alignment horizontal="right" vertical="center"/>
    </xf>
    <xf numFmtId="4" fontId="71" fillId="3" borderId="77" xfId="2" applyNumberFormat="1" applyFont="1" applyFill="1" applyBorder="1" applyAlignment="1">
      <alignment horizontal="right" vertical="center"/>
    </xf>
    <xf numFmtId="3" fontId="12" fillId="0" borderId="15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3" fontId="23" fillId="0" borderId="15" xfId="3" applyNumberFormat="1" applyFont="1" applyFill="1" applyBorder="1" applyAlignment="1">
      <alignment horizontal="left" vertical="center" wrapText="1"/>
    </xf>
    <xf numFmtId="3" fontId="23" fillId="0" borderId="15" xfId="0" applyNumberFormat="1" applyFont="1" applyFill="1" applyBorder="1" applyAlignment="1">
      <alignment horizontal="right" vertical="center"/>
    </xf>
    <xf numFmtId="1" fontId="97" fillId="7" borderId="15" xfId="0" applyNumberFormat="1" applyFont="1" applyFill="1" applyBorder="1" applyAlignment="1">
      <alignment horizontal="center" vertical="center" shrinkToFit="1"/>
    </xf>
    <xf numFmtId="165" fontId="97" fillId="7" borderId="84" xfId="0" applyNumberFormat="1" applyFont="1" applyFill="1" applyBorder="1"/>
    <xf numFmtId="3" fontId="19" fillId="7" borderId="16" xfId="2" applyNumberFormat="1" applyFont="1" applyFill="1" applyBorder="1" applyAlignment="1">
      <alignment horizontal="left" wrapText="1"/>
    </xf>
    <xf numFmtId="3" fontId="66" fillId="9" borderId="15" xfId="0" applyNumberFormat="1" applyFont="1" applyFill="1" applyBorder="1" applyAlignment="1">
      <alignment horizontal="center" vertical="center"/>
    </xf>
    <xf numFmtId="3" fontId="66" fillId="9" borderId="15" xfId="0" applyNumberFormat="1" applyFont="1" applyFill="1" applyBorder="1" applyAlignment="1">
      <alignment horizontal="left" vertical="center"/>
    </xf>
    <xf numFmtId="3" fontId="68" fillId="3" borderId="5" xfId="2" applyNumberFormat="1" applyFont="1" applyFill="1" applyBorder="1" applyAlignment="1">
      <alignment horizontal="center" vertical="center" wrapText="1"/>
    </xf>
    <xf numFmtId="3" fontId="68" fillId="3" borderId="9" xfId="2" applyNumberFormat="1" applyFont="1" applyFill="1" applyBorder="1" applyAlignment="1">
      <alignment horizontal="center" vertical="center" wrapText="1"/>
    </xf>
    <xf numFmtId="3" fontId="98" fillId="0" borderId="84" xfId="0" applyNumberFormat="1" applyFont="1" applyBorder="1" applyAlignment="1">
      <alignment horizontal="right" vertical="center" shrinkToFit="1"/>
    </xf>
    <xf numFmtId="0" fontId="98" fillId="0" borderId="15" xfId="0" applyFont="1" applyBorder="1" applyAlignment="1">
      <alignment vertical="center" shrinkToFit="1"/>
    </xf>
    <xf numFmtId="0" fontId="97" fillId="0" borderId="15" xfId="0" applyFont="1" applyBorder="1" applyAlignment="1">
      <alignment vertical="center" shrinkToFit="1"/>
    </xf>
    <xf numFmtId="3" fontId="12" fillId="0" borderId="0" xfId="2" applyNumberFormat="1" applyFont="1" applyBorder="1" applyAlignment="1">
      <alignment vertical="center"/>
    </xf>
    <xf numFmtId="3" fontId="14" fillId="0" borderId="0" xfId="2" applyNumberFormat="1" applyFont="1" applyBorder="1" applyAlignment="1">
      <alignment vertical="center"/>
    </xf>
    <xf numFmtId="3" fontId="29" fillId="0" borderId="0" xfId="2" applyNumberFormat="1" applyFont="1" applyBorder="1" applyAlignment="1">
      <alignment vertical="center"/>
    </xf>
    <xf numFmtId="3" fontId="61" fillId="0" borderId="0" xfId="2" applyNumberFormat="1" applyFont="1" applyBorder="1" applyAlignment="1">
      <alignment horizontal="right" vertical="center"/>
    </xf>
    <xf numFmtId="3" fontId="28" fillId="0" borderId="0" xfId="2" applyNumberFormat="1" applyFont="1" applyBorder="1" applyAlignment="1">
      <alignment vertical="center"/>
    </xf>
    <xf numFmtId="3" fontId="51" fillId="0" borderId="0" xfId="2" applyNumberFormat="1" applyFont="1" applyBorder="1" applyAlignment="1">
      <alignment vertical="center"/>
    </xf>
    <xf numFmtId="4" fontId="19" fillId="0" borderId="128" xfId="2" applyNumberFormat="1" applyFont="1" applyBorder="1" applyAlignment="1">
      <alignment horizontal="right" vertical="center"/>
    </xf>
    <xf numFmtId="4" fontId="19" fillId="0" borderId="132" xfId="2" applyNumberFormat="1" applyFont="1" applyBorder="1" applyAlignment="1">
      <alignment horizontal="right" vertical="center"/>
    </xf>
    <xf numFmtId="3" fontId="52" fillId="5" borderId="0" xfId="2" applyNumberFormat="1" applyFont="1" applyFill="1" applyBorder="1" applyAlignment="1">
      <alignment horizontal="center" vertical="center"/>
    </xf>
    <xf numFmtId="3" fontId="54" fillId="9" borderId="91" xfId="2" applyNumberFormat="1" applyFont="1" applyFill="1" applyBorder="1" applyAlignment="1">
      <alignment horizontal="center" vertical="center"/>
    </xf>
    <xf numFmtId="3" fontId="54" fillId="0" borderId="91" xfId="2" applyNumberFormat="1" applyFont="1" applyBorder="1" applyAlignment="1">
      <alignment horizontal="center" vertical="center"/>
    </xf>
    <xf numFmtId="3" fontId="54" fillId="0" borderId="80" xfId="2" applyNumberFormat="1" applyFont="1" applyBorder="1" applyAlignment="1">
      <alignment horizontal="center" vertical="center"/>
    </xf>
    <xf numFmtId="3" fontId="59" fillId="0" borderId="91" xfId="2" applyNumberFormat="1" applyFont="1" applyBorder="1" applyAlignment="1">
      <alignment horizontal="center" vertical="center"/>
    </xf>
    <xf numFmtId="3" fontId="67" fillId="0" borderId="0" xfId="2" applyNumberFormat="1" applyFont="1" applyBorder="1" applyAlignment="1">
      <alignment vertical="center"/>
    </xf>
    <xf numFmtId="3" fontId="54" fillId="3" borderId="80" xfId="2" applyNumberFormat="1" applyFont="1" applyFill="1" applyBorder="1" applyAlignment="1">
      <alignment horizontal="center" vertical="center"/>
    </xf>
    <xf numFmtId="0" fontId="18" fillId="0" borderId="0" xfId="0" applyFont="1" applyBorder="1"/>
    <xf numFmtId="3" fontId="59" fillId="3" borderId="103" xfId="2" applyNumberFormat="1" applyFont="1" applyFill="1" applyBorder="1" applyAlignment="1">
      <alignment horizontal="center" vertical="center"/>
    </xf>
    <xf numFmtId="3" fontId="54" fillId="3" borderId="103" xfId="2" applyNumberFormat="1" applyFont="1" applyFill="1" applyBorder="1" applyAlignment="1">
      <alignment horizontal="center" vertical="center"/>
    </xf>
    <xf numFmtId="3" fontId="59" fillId="3" borderId="1" xfId="2" applyNumberFormat="1" applyFont="1" applyFill="1" applyBorder="1" applyAlignment="1">
      <alignment horizontal="center" vertical="center"/>
    </xf>
    <xf numFmtId="2" fontId="19" fillId="5" borderId="77" xfId="2" applyNumberFormat="1" applyFont="1" applyFill="1" applyBorder="1" applyAlignment="1">
      <alignment horizontal="right" vertical="center"/>
    </xf>
    <xf numFmtId="4" fontId="19" fillId="4" borderId="21" xfId="2" applyNumberFormat="1" applyFont="1" applyFill="1" applyBorder="1" applyAlignment="1">
      <alignment horizontal="right" vertical="center"/>
    </xf>
    <xf numFmtId="4" fontId="62" fillId="4" borderId="20" xfId="2" applyNumberFormat="1" applyFont="1" applyFill="1" applyBorder="1" applyAlignment="1">
      <alignment vertical="center"/>
    </xf>
    <xf numFmtId="4" fontId="62" fillId="4" borderId="87" xfId="2" applyNumberFormat="1" applyFont="1" applyFill="1" applyBorder="1" applyAlignment="1">
      <alignment vertical="center"/>
    </xf>
    <xf numFmtId="3" fontId="10" fillId="3" borderId="13" xfId="2" applyNumberFormat="1" applyFont="1" applyFill="1" applyBorder="1" applyAlignment="1">
      <alignment horizontal="center" vertical="center"/>
    </xf>
    <xf numFmtId="3" fontId="10" fillId="3" borderId="15" xfId="2" applyNumberFormat="1" applyFont="1" applyFill="1" applyBorder="1" applyAlignment="1">
      <alignment horizontal="center" vertical="center"/>
    </xf>
    <xf numFmtId="3" fontId="10" fillId="3" borderId="14" xfId="2" applyNumberFormat="1" applyFont="1" applyFill="1" applyBorder="1" applyAlignment="1">
      <alignment horizontal="center" vertical="center"/>
    </xf>
    <xf numFmtId="3" fontId="21" fillId="0" borderId="15" xfId="0" applyNumberFormat="1" applyFont="1" applyFill="1" applyBorder="1" applyAlignment="1">
      <alignment horizontal="center" vertical="center"/>
    </xf>
    <xf numFmtId="3" fontId="74" fillId="0" borderId="60" xfId="0" applyNumberFormat="1" applyFont="1" applyBorder="1" applyAlignment="1">
      <alignment horizontal="right" vertical="center" shrinkToFit="1"/>
    </xf>
    <xf numFmtId="3" fontId="74" fillId="0" borderId="62" xfId="0" applyNumberFormat="1" applyFont="1" applyBorder="1" applyAlignment="1">
      <alignment horizontal="right" vertical="center" shrinkToFit="1"/>
    </xf>
    <xf numFmtId="3" fontId="97" fillId="0" borderId="60" xfId="0" applyNumberFormat="1" applyFont="1" applyBorder="1" applyAlignment="1">
      <alignment horizontal="right" vertical="center" shrinkToFit="1"/>
    </xf>
    <xf numFmtId="0" fontId="97" fillId="7" borderId="15" xfId="0" applyFont="1" applyFill="1" applyBorder="1" applyAlignment="1">
      <alignment vertical="center" shrinkToFit="1"/>
    </xf>
    <xf numFmtId="0" fontId="97" fillId="0" borderId="0" xfId="0" applyFont="1" applyBorder="1" applyAlignment="1">
      <alignment vertical="center" shrinkToFit="1"/>
    </xf>
    <xf numFmtId="0" fontId="97" fillId="7" borderId="0" xfId="0" applyFont="1" applyFill="1" applyBorder="1" applyAlignment="1">
      <alignment vertical="center" shrinkToFit="1"/>
    </xf>
    <xf numFmtId="0" fontId="98" fillId="7" borderId="0" xfId="0" applyFont="1" applyFill="1" applyAlignment="1">
      <alignment horizontal="justify" vertical="center" shrinkToFit="1"/>
    </xf>
    <xf numFmtId="0" fontId="98" fillId="7" borderId="15" xfId="0" applyFont="1" applyFill="1" applyBorder="1" applyAlignment="1">
      <alignment vertical="center" shrinkToFit="1"/>
    </xf>
    <xf numFmtId="0" fontId="23" fillId="7" borderId="15" xfId="0" applyFont="1" applyFill="1" applyBorder="1" applyAlignment="1">
      <alignment vertical="center" shrinkToFit="1"/>
    </xf>
    <xf numFmtId="0" fontId="98" fillId="0" borderId="84" xfId="0" applyFont="1" applyBorder="1" applyAlignment="1">
      <alignment vertical="center" shrinkToFit="1"/>
    </xf>
    <xf numFmtId="3" fontId="23" fillId="0" borderId="62" xfId="0" applyNumberFormat="1" applyFont="1" applyBorder="1" applyAlignment="1">
      <alignment horizontal="right" vertical="center" shrinkToFit="1"/>
    </xf>
    <xf numFmtId="3" fontId="23" fillId="0" borderId="60" xfId="0" applyNumberFormat="1" applyFont="1" applyBorder="1" applyAlignment="1">
      <alignment horizontal="right" vertical="center" shrinkToFit="1"/>
    </xf>
    <xf numFmtId="3" fontId="23" fillId="3" borderId="60" xfId="0" applyNumberFormat="1" applyFont="1" applyFill="1" applyBorder="1" applyAlignment="1">
      <alignment horizontal="right" vertical="center" shrinkToFit="1"/>
    </xf>
    <xf numFmtId="3" fontId="23" fillId="3" borderId="62" xfId="0" applyNumberFormat="1" applyFont="1" applyFill="1" applyBorder="1" applyAlignment="1">
      <alignment horizontal="right" vertical="center" shrinkToFit="1"/>
    </xf>
    <xf numFmtId="3" fontId="23" fillId="3" borderId="136" xfId="0" applyNumberFormat="1" applyFont="1" applyFill="1" applyBorder="1" applyAlignment="1">
      <alignment horizontal="right" vertical="center" shrinkToFit="1"/>
    </xf>
    <xf numFmtId="3" fontId="23" fillId="3" borderId="120" xfId="0" applyNumberFormat="1" applyFont="1" applyFill="1" applyBorder="1" applyAlignment="1">
      <alignment horizontal="right" vertical="center" shrinkToFit="1"/>
    </xf>
    <xf numFmtId="3" fontId="23" fillId="3" borderId="115" xfId="0" applyNumberFormat="1" applyFont="1" applyFill="1" applyBorder="1" applyAlignment="1">
      <alignment horizontal="right" vertical="center" shrinkToFit="1"/>
    </xf>
    <xf numFmtId="3" fontId="23" fillId="3" borderId="135" xfId="0" applyNumberFormat="1" applyFont="1" applyFill="1" applyBorder="1" applyAlignment="1">
      <alignment horizontal="right" vertical="center" shrinkToFit="1"/>
    </xf>
    <xf numFmtId="41" fontId="23" fillId="3" borderId="60" xfId="0" applyNumberFormat="1" applyFont="1" applyFill="1" applyBorder="1" applyAlignment="1">
      <alignment horizontal="right" vertical="center" shrinkToFit="1"/>
    </xf>
    <xf numFmtId="41" fontId="23" fillId="3" borderId="120" xfId="0" applyNumberFormat="1" applyFont="1" applyFill="1" applyBorder="1" applyAlignment="1">
      <alignment horizontal="right" vertical="center" shrinkToFit="1"/>
    </xf>
    <xf numFmtId="41" fontId="23" fillId="0" borderId="124" xfId="0" applyNumberFormat="1" applyFont="1" applyBorder="1" applyAlignment="1">
      <alignment horizontal="right" vertical="center" shrinkToFit="1"/>
    </xf>
    <xf numFmtId="41" fontId="23" fillId="3" borderId="62" xfId="0" applyNumberFormat="1" applyFont="1" applyFill="1" applyBorder="1" applyAlignment="1">
      <alignment horizontal="right" vertical="center" shrinkToFit="1"/>
    </xf>
    <xf numFmtId="41" fontId="23" fillId="0" borderId="0" xfId="0" applyNumberFormat="1" applyFont="1" applyAlignment="1">
      <alignment vertical="center" shrinkToFit="1"/>
    </xf>
    <xf numFmtId="41" fontId="23" fillId="0" borderId="0" xfId="0" applyNumberFormat="1" applyFont="1" applyAlignment="1">
      <alignment horizontal="right" vertical="center" shrinkToFit="1"/>
    </xf>
    <xf numFmtId="3" fontId="23" fillId="3" borderId="67" xfId="0" applyNumberFormat="1" applyFont="1" applyFill="1" applyBorder="1" applyAlignment="1">
      <alignment horizontal="right" vertical="center" shrinkToFit="1"/>
    </xf>
    <xf numFmtId="3" fontId="30" fillId="4" borderId="15" xfId="0" applyNumberFormat="1" applyFont="1" applyFill="1" applyBorder="1" applyAlignment="1">
      <alignment horizontal="right" vertical="center"/>
    </xf>
    <xf numFmtId="0" fontId="18" fillId="3" borderId="13" xfId="0" applyFont="1" applyFill="1" applyBorder="1"/>
    <xf numFmtId="3" fontId="18" fillId="3" borderId="13" xfId="2" applyNumberFormat="1" applyFont="1" applyFill="1" applyBorder="1" applyAlignment="1">
      <alignment vertical="center"/>
    </xf>
    <xf numFmtId="3" fontId="19" fillId="3" borderId="13" xfId="2" applyNumberFormat="1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8" fillId="0" borderId="16" xfId="0" applyFont="1" applyBorder="1" applyAlignment="1">
      <alignment wrapText="1"/>
    </xf>
    <xf numFmtId="3" fontId="63" fillId="5" borderId="12" xfId="2" applyNumberFormat="1" applyFont="1" applyFill="1" applyBorder="1" applyAlignment="1">
      <alignment horizontal="right" vertical="center"/>
    </xf>
    <xf numFmtId="2" fontId="63" fillId="5" borderId="86" xfId="2" applyNumberFormat="1" applyFont="1" applyFill="1" applyBorder="1" applyAlignment="1">
      <alignment horizontal="right" vertical="center"/>
    </xf>
    <xf numFmtId="3" fontId="63" fillId="5" borderId="9" xfId="2" applyNumberFormat="1" applyFont="1" applyFill="1" applyBorder="1" applyAlignment="1">
      <alignment horizontal="right" vertical="center"/>
    </xf>
    <xf numFmtId="3" fontId="63" fillId="5" borderId="29" xfId="2" applyNumberFormat="1" applyFont="1" applyFill="1" applyBorder="1" applyAlignment="1">
      <alignment horizontal="right" vertical="center"/>
    </xf>
    <xf numFmtId="3" fontId="63" fillId="5" borderId="6" xfId="2" applyNumberFormat="1" applyFont="1" applyFill="1" applyBorder="1" applyAlignment="1">
      <alignment horizontal="right" vertical="center"/>
    </xf>
    <xf numFmtId="2" fontId="63" fillId="5" borderId="20" xfId="2" applyNumberFormat="1" applyFont="1" applyFill="1" applyBorder="1" applyAlignment="1">
      <alignment horizontal="right" vertical="center"/>
    </xf>
    <xf numFmtId="3" fontId="63" fillId="5" borderId="14" xfId="2" applyNumberFormat="1" applyFont="1" applyFill="1" applyBorder="1" applyAlignment="1">
      <alignment horizontal="right" vertical="center"/>
    </xf>
    <xf numFmtId="3" fontId="63" fillId="5" borderId="87" xfId="2" applyNumberFormat="1" applyFont="1" applyFill="1" applyBorder="1" applyAlignment="1">
      <alignment horizontal="right" vertical="center"/>
    </xf>
    <xf numFmtId="3" fontId="19" fillId="3" borderId="14" xfId="2" applyNumberFormat="1" applyFont="1" applyFill="1" applyBorder="1" applyAlignment="1">
      <alignment horizontal="right" vertical="center"/>
    </xf>
    <xf numFmtId="3" fontId="10" fillId="3" borderId="14" xfId="2" applyNumberFormat="1" applyFont="1" applyFill="1" applyBorder="1" applyAlignment="1">
      <alignment vertical="center"/>
    </xf>
    <xf numFmtId="0" fontId="84" fillId="0" borderId="93" xfId="0" applyFont="1" applyBorder="1" applyAlignment="1">
      <alignment wrapText="1"/>
    </xf>
    <xf numFmtId="3" fontId="84" fillId="0" borderId="90" xfId="0" applyNumberFormat="1" applyFont="1" applyBorder="1"/>
    <xf numFmtId="0" fontId="49" fillId="0" borderId="130" xfId="0" applyFont="1" applyBorder="1" applyAlignment="1">
      <alignment horizontal="center"/>
    </xf>
    <xf numFmtId="0" fontId="84" fillId="0" borderId="90" xfId="0" applyFont="1" applyBorder="1" applyAlignment="1">
      <alignment wrapText="1"/>
    </xf>
    <xf numFmtId="3" fontId="48" fillId="0" borderId="14" xfId="0" applyNumberFormat="1" applyFont="1" applyBorder="1" applyAlignment="1">
      <alignment vertical="center"/>
    </xf>
    <xf numFmtId="3" fontId="83" fillId="0" borderId="129" xfId="0" applyNumberFormat="1" applyFont="1" applyBorder="1" applyAlignment="1">
      <alignment vertical="center"/>
    </xf>
    <xf numFmtId="0" fontId="24" fillId="3" borderId="96" xfId="0" applyFont="1" applyFill="1" applyBorder="1" applyAlignment="1">
      <alignment horizontal="left" vertical="center" shrinkToFit="1"/>
    </xf>
    <xf numFmtId="0" fontId="24" fillId="3" borderId="114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25" fillId="0" borderId="97" xfId="0" applyFont="1" applyBorder="1" applyAlignment="1">
      <alignment horizontal="center" shrinkToFit="1"/>
    </xf>
    <xf numFmtId="0" fontId="25" fillId="0" borderId="98" xfId="0" applyFont="1" applyBorder="1" applyAlignment="1">
      <alignment horizontal="center" shrinkToFit="1"/>
    </xf>
    <xf numFmtId="0" fontId="25" fillId="0" borderId="82" xfId="0" applyFont="1" applyBorder="1" applyAlignment="1">
      <alignment horizontal="center" shrinkToFit="1"/>
    </xf>
    <xf numFmtId="0" fontId="24" fillId="0" borderId="99" xfId="0" applyFont="1" applyBorder="1" applyAlignment="1">
      <alignment horizontal="left" vertical="center"/>
    </xf>
    <xf numFmtId="0" fontId="24" fillId="0" borderId="100" xfId="0" applyFont="1" applyBorder="1" applyAlignment="1">
      <alignment horizontal="left" vertical="center"/>
    </xf>
    <xf numFmtId="0" fontId="24" fillId="0" borderId="97" xfId="0" applyFont="1" applyBorder="1" applyAlignment="1">
      <alignment horizontal="center" shrinkToFit="1"/>
    </xf>
    <xf numFmtId="0" fontId="24" fillId="0" borderId="98" xfId="0" applyFont="1" applyBorder="1" applyAlignment="1">
      <alignment horizontal="center" shrinkToFit="1"/>
    </xf>
    <xf numFmtId="0" fontId="24" fillId="0" borderId="82" xfId="0" applyFont="1" applyBorder="1" applyAlignment="1">
      <alignment horizontal="center" shrinkToFit="1"/>
    </xf>
    <xf numFmtId="2" fontId="24" fillId="0" borderId="99" xfId="0" applyNumberFormat="1" applyFont="1" applyBorder="1" applyAlignment="1">
      <alignment horizontal="center" shrinkToFit="1"/>
    </xf>
    <xf numFmtId="2" fontId="24" fillId="0" borderId="102" xfId="0" applyNumberFormat="1" applyFont="1" applyBorder="1" applyAlignment="1">
      <alignment horizontal="center" shrinkToFit="1"/>
    </xf>
    <xf numFmtId="2" fontId="24" fillId="0" borderId="99" xfId="0" applyNumberFormat="1" applyFont="1" applyBorder="1" applyAlignment="1">
      <alignment horizontal="center" vertical="center" shrinkToFit="1"/>
    </xf>
    <xf numFmtId="2" fontId="24" fillId="0" borderId="102" xfId="0" applyNumberFormat="1" applyFont="1" applyBorder="1" applyAlignment="1">
      <alignment horizontal="center" vertical="center" shrinkToFit="1"/>
    </xf>
    <xf numFmtId="2" fontId="24" fillId="0" borderId="99" xfId="0" applyNumberFormat="1" applyFont="1" applyBorder="1" applyAlignment="1">
      <alignment horizontal="left" vertical="center" wrapText="1" shrinkToFit="1"/>
    </xf>
    <xf numFmtId="2" fontId="24" fillId="0" borderId="102" xfId="0" applyNumberFormat="1" applyFont="1" applyBorder="1" applyAlignment="1">
      <alignment horizontal="left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24" fillId="0" borderId="1" xfId="0" applyFont="1" applyBorder="1" applyAlignment="1">
      <alignment horizontal="center" vertical="center" shrinkToFit="1"/>
    </xf>
    <xf numFmtId="0" fontId="24" fillId="0" borderId="6" xfId="0" applyFont="1" applyBorder="1" applyAlignment="1">
      <alignment horizontal="center" vertical="center" shrinkToFit="1"/>
    </xf>
    <xf numFmtId="0" fontId="24" fillId="0" borderId="46" xfId="0" applyFont="1" applyBorder="1" applyAlignment="1">
      <alignment horizontal="center" vertical="center" shrinkToFit="1"/>
    </xf>
    <xf numFmtId="0" fontId="24" fillId="2" borderId="97" xfId="0" applyFont="1" applyFill="1" applyBorder="1" applyAlignment="1">
      <alignment horizontal="center" vertical="center" shrinkToFit="1"/>
    </xf>
    <xf numFmtId="0" fontId="24" fillId="2" borderId="98" xfId="0" applyFont="1" applyFill="1" applyBorder="1" applyAlignment="1">
      <alignment horizontal="center" vertical="center" shrinkToFit="1"/>
    </xf>
    <xf numFmtId="0" fontId="24" fillId="2" borderId="82" xfId="0" applyFont="1" applyFill="1" applyBorder="1" applyAlignment="1">
      <alignment horizontal="center" vertical="center" shrinkToFit="1"/>
    </xf>
    <xf numFmtId="2" fontId="24" fillId="0" borderId="96" xfId="0" applyNumberFormat="1" applyFont="1" applyBorder="1" applyAlignment="1">
      <alignment horizontal="center" vertical="center" shrinkToFit="1"/>
    </xf>
    <xf numFmtId="2" fontId="24" fillId="0" borderId="101" xfId="0" applyNumberFormat="1" applyFont="1" applyBorder="1" applyAlignment="1">
      <alignment horizontal="center" vertical="center" shrinkToFit="1"/>
    </xf>
    <xf numFmtId="0" fontId="24" fillId="0" borderId="99" xfId="0" applyFont="1" applyBorder="1" applyAlignment="1">
      <alignment horizontal="center" vertical="center" shrinkToFit="1"/>
    </xf>
    <xf numFmtId="0" fontId="24" fillId="0" borderId="102" xfId="0" applyFont="1" applyBorder="1" applyAlignment="1">
      <alignment horizontal="center" vertical="center" shrinkToFit="1"/>
    </xf>
    <xf numFmtId="3" fontId="12" fillId="7" borderId="16" xfId="0" applyNumberFormat="1" applyFont="1" applyFill="1" applyBorder="1" applyAlignment="1">
      <alignment horizontal="center" vertical="center"/>
    </xf>
    <xf numFmtId="3" fontId="12" fillId="7" borderId="9" xfId="0" applyNumberFormat="1" applyFont="1" applyFill="1" applyBorder="1" applyAlignment="1">
      <alignment horizontal="center" vertical="center"/>
    </xf>
    <xf numFmtId="3" fontId="12" fillId="7" borderId="13" xfId="0" applyNumberFormat="1" applyFont="1" applyFill="1" applyBorder="1" applyAlignment="1">
      <alignment horizontal="center" vertical="center"/>
    </xf>
    <xf numFmtId="3" fontId="21" fillId="7" borderId="16" xfId="0" applyNumberFormat="1" applyFont="1" applyFill="1" applyBorder="1" applyAlignment="1">
      <alignment horizontal="center" vertical="center"/>
    </xf>
    <xf numFmtId="3" fontId="21" fillId="7" borderId="9" xfId="0" applyNumberFormat="1" applyFont="1" applyFill="1" applyBorder="1" applyAlignment="1">
      <alignment horizontal="center" vertical="center"/>
    </xf>
    <xf numFmtId="3" fontId="21" fillId="7" borderId="13" xfId="0" applyNumberFormat="1" applyFont="1" applyFill="1" applyBorder="1" applyAlignment="1">
      <alignment horizontal="center" vertical="center"/>
    </xf>
    <xf numFmtId="3" fontId="21" fillId="3" borderId="15" xfId="0" applyNumberFormat="1" applyFont="1" applyFill="1" applyBorder="1" applyAlignment="1">
      <alignment horizontal="left" vertical="center"/>
    </xf>
    <xf numFmtId="3" fontId="21" fillId="9" borderId="15" xfId="0" applyNumberFormat="1" applyFont="1" applyFill="1" applyBorder="1" applyAlignment="1">
      <alignment horizontal="center" vertical="center"/>
    </xf>
    <xf numFmtId="3" fontId="24" fillId="3" borderId="15" xfId="0" applyNumberFormat="1" applyFont="1" applyFill="1" applyBorder="1" applyAlignment="1">
      <alignment horizontal="left" vertical="center"/>
    </xf>
    <xf numFmtId="3" fontId="24" fillId="3" borderId="15" xfId="0" applyNumberFormat="1" applyFont="1" applyFill="1" applyBorder="1" applyAlignment="1">
      <alignment horizontal="center" vertical="center"/>
    </xf>
    <xf numFmtId="3" fontId="12" fillId="3" borderId="15" xfId="0" applyNumberFormat="1" applyFont="1" applyFill="1" applyBorder="1" applyAlignment="1">
      <alignment horizontal="center" vertical="center"/>
    </xf>
    <xf numFmtId="3" fontId="21" fillId="9" borderId="89" xfId="0" applyNumberFormat="1" applyFont="1" applyFill="1" applyBorder="1" applyAlignment="1">
      <alignment horizontal="center" vertical="center"/>
    </xf>
    <xf numFmtId="3" fontId="21" fillId="9" borderId="104" xfId="0" applyNumberFormat="1" applyFont="1" applyFill="1" applyBorder="1" applyAlignment="1">
      <alignment horizontal="center" vertical="center"/>
    </xf>
    <xf numFmtId="3" fontId="21" fillId="9" borderId="93" xfId="0" applyNumberFormat="1" applyFont="1" applyFill="1" applyBorder="1" applyAlignment="1">
      <alignment horizontal="center" vertical="center"/>
    </xf>
    <xf numFmtId="3" fontId="5" fillId="3" borderId="0" xfId="0" applyNumberFormat="1" applyFont="1" applyFill="1" applyAlignment="1">
      <alignment horizontal="right" vertical="top"/>
    </xf>
    <xf numFmtId="3" fontId="23" fillId="3" borderId="15" xfId="0" applyNumberFormat="1" applyFont="1" applyFill="1" applyBorder="1" applyAlignment="1">
      <alignment horizontal="left" vertical="center"/>
    </xf>
    <xf numFmtId="3" fontId="24" fillId="3" borderId="10" xfId="0" applyNumberFormat="1" applyFont="1" applyFill="1" applyBorder="1" applyAlignment="1">
      <alignment horizontal="center" vertical="center" wrapText="1"/>
    </xf>
    <xf numFmtId="3" fontId="24" fillId="3" borderId="5" xfId="0" applyNumberFormat="1" applyFont="1" applyFill="1" applyBorder="1" applyAlignment="1">
      <alignment horizontal="center" vertical="center" wrapText="1"/>
    </xf>
    <xf numFmtId="3" fontId="21" fillId="3" borderId="15" xfId="0" applyNumberFormat="1" applyFont="1" applyFill="1" applyBorder="1" applyAlignment="1">
      <alignment horizontal="center" vertical="center"/>
    </xf>
    <xf numFmtId="3" fontId="34" fillId="3" borderId="15" xfId="0" applyNumberFormat="1" applyFont="1" applyFill="1" applyBorder="1" applyAlignment="1">
      <alignment horizontal="left" vertical="center"/>
    </xf>
    <xf numFmtId="3" fontId="34" fillId="3" borderId="15" xfId="0" applyNumberFormat="1" applyFont="1" applyFill="1" applyBorder="1" applyAlignment="1">
      <alignment horizontal="center" vertical="center"/>
    </xf>
    <xf numFmtId="3" fontId="30" fillId="4" borderId="15" xfId="0" applyNumberFormat="1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left" vertical="center" wrapText="1"/>
    </xf>
    <xf numFmtId="0" fontId="24" fillId="3" borderId="15" xfId="0" applyFont="1" applyFill="1" applyBorder="1" applyAlignment="1">
      <alignment horizontal="center" vertical="center" wrapText="1"/>
    </xf>
    <xf numFmtId="3" fontId="24" fillId="4" borderId="15" xfId="0" applyNumberFormat="1" applyFont="1" applyFill="1" applyBorder="1" applyAlignment="1">
      <alignment horizontal="center" vertical="center"/>
    </xf>
    <xf numFmtId="3" fontId="30" fillId="4" borderId="15" xfId="0" quotePrefix="1" applyNumberFormat="1" applyFont="1" applyFill="1" applyBorder="1" applyAlignment="1">
      <alignment horizontal="center" vertical="center"/>
    </xf>
    <xf numFmtId="3" fontId="14" fillId="3" borderId="15" xfId="0" applyNumberFormat="1" applyFont="1" applyFill="1" applyBorder="1" applyAlignment="1">
      <alignment horizontal="center" vertical="center"/>
    </xf>
    <xf numFmtId="3" fontId="66" fillId="9" borderId="15" xfId="0" applyNumberFormat="1" applyFont="1" applyFill="1" applyBorder="1" applyAlignment="1">
      <alignment horizontal="center" vertical="center"/>
    </xf>
    <xf numFmtId="3" fontId="34" fillId="3" borderId="15" xfId="0" applyNumberFormat="1" applyFont="1" applyFill="1" applyBorder="1" applyAlignment="1">
      <alignment horizontal="left" vertical="center" wrapText="1"/>
    </xf>
    <xf numFmtId="3" fontId="24" fillId="9" borderId="15" xfId="0" applyNumberFormat="1" applyFont="1" applyFill="1" applyBorder="1" applyAlignment="1">
      <alignment horizontal="center" vertical="center"/>
    </xf>
    <xf numFmtId="3" fontId="66" fillId="4" borderId="15" xfId="0" applyNumberFormat="1" applyFont="1" applyFill="1" applyBorder="1" applyAlignment="1">
      <alignment horizontal="center" vertical="center"/>
    </xf>
    <xf numFmtId="3" fontId="66" fillId="9" borderId="15" xfId="0" applyNumberFormat="1" applyFont="1" applyFill="1" applyBorder="1" applyAlignment="1">
      <alignment horizontal="left" vertical="center"/>
    </xf>
    <xf numFmtId="3" fontId="14" fillId="4" borderId="15" xfId="0" applyNumberFormat="1" applyFont="1" applyFill="1" applyBorder="1" applyAlignment="1">
      <alignment horizontal="center" vertical="center"/>
    </xf>
    <xf numFmtId="3" fontId="24" fillId="3" borderId="19" xfId="0" applyNumberFormat="1" applyFont="1" applyFill="1" applyBorder="1" applyAlignment="1">
      <alignment horizontal="center" vertical="center" wrapText="1"/>
    </xf>
    <xf numFmtId="3" fontId="24" fillId="3" borderId="21" xfId="0" applyNumberFormat="1" applyFont="1" applyFill="1" applyBorder="1" applyAlignment="1">
      <alignment horizontal="center" vertical="center" wrapText="1"/>
    </xf>
    <xf numFmtId="3" fontId="12" fillId="3" borderId="10" xfId="0" applyNumberFormat="1" applyFont="1" applyFill="1" applyBorder="1" applyAlignment="1">
      <alignment horizontal="center" vertical="center" textRotation="1"/>
    </xf>
    <xf numFmtId="0" fontId="0" fillId="3" borderId="5" xfId="0" applyFill="1" applyBorder="1" applyAlignment="1">
      <alignment horizontal="center" vertical="center" textRotation="1"/>
    </xf>
    <xf numFmtId="3" fontId="14" fillId="3" borderId="10" xfId="0" applyNumberFormat="1" applyFont="1" applyFill="1" applyBorder="1" applyAlignment="1">
      <alignment horizontal="center" vertical="center"/>
    </xf>
    <xf numFmtId="3" fontId="14" fillId="3" borderId="5" xfId="0" applyNumberFormat="1" applyFont="1" applyFill="1" applyBorder="1" applyAlignment="1">
      <alignment horizontal="center" vertical="center"/>
    </xf>
    <xf numFmtId="3" fontId="14" fillId="3" borderId="97" xfId="0" applyNumberFormat="1" applyFont="1" applyFill="1" applyBorder="1" applyAlignment="1">
      <alignment horizontal="center" vertical="center"/>
    </xf>
    <xf numFmtId="3" fontId="14" fillId="3" borderId="22" xfId="0" applyNumberFormat="1" applyFont="1" applyFill="1" applyBorder="1" applyAlignment="1">
      <alignment horizontal="center" vertical="center"/>
    </xf>
    <xf numFmtId="3" fontId="14" fillId="3" borderId="34" xfId="0" applyNumberFormat="1" applyFont="1" applyFill="1" applyBorder="1" applyAlignment="1">
      <alignment horizontal="center" vertical="center"/>
    </xf>
    <xf numFmtId="3" fontId="47" fillId="3" borderId="16" xfId="0" applyNumberFormat="1" applyFont="1" applyFill="1" applyBorder="1" applyAlignment="1">
      <alignment horizontal="center" vertical="center"/>
    </xf>
    <xf numFmtId="3" fontId="34" fillId="3" borderId="10" xfId="0" applyNumberFormat="1" applyFont="1" applyFill="1" applyBorder="1" applyAlignment="1">
      <alignment horizontal="center" vertical="center" wrapText="1"/>
    </xf>
    <xf numFmtId="3" fontId="34" fillId="3" borderId="5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4" fillId="0" borderId="86" xfId="0" applyFont="1" applyBorder="1" applyAlignment="1">
      <alignment horizontal="center" vertical="center" wrapText="1"/>
    </xf>
    <xf numFmtId="0" fontId="24" fillId="0" borderId="8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24" fillId="0" borderId="9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8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1" fillId="0" borderId="105" xfId="0" applyFont="1" applyBorder="1" applyAlignment="1">
      <alignment horizontal="center" vertical="center" wrapText="1"/>
    </xf>
    <xf numFmtId="0" fontId="21" fillId="0" borderId="106" xfId="0" applyFont="1" applyBorder="1" applyAlignment="1">
      <alignment horizontal="center" vertical="center" wrapText="1"/>
    </xf>
    <xf numFmtId="0" fontId="21" fillId="0" borderId="107" xfId="0" applyFont="1" applyBorder="1" applyAlignment="1">
      <alignment horizontal="center" vertical="center" wrapText="1"/>
    </xf>
    <xf numFmtId="0" fontId="24" fillId="0" borderId="108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3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92" xfId="0" applyFont="1" applyBorder="1" applyAlignment="1">
      <alignment horizontal="center" vertical="center" wrapText="1"/>
    </xf>
    <xf numFmtId="0" fontId="24" fillId="0" borderId="90" xfId="0" applyFont="1" applyBorder="1" applyAlignment="1">
      <alignment horizontal="center" vertical="center" wrapText="1"/>
    </xf>
    <xf numFmtId="0" fontId="24" fillId="0" borderId="15" xfId="0" quotePrefix="1" applyFont="1" applyBorder="1" applyAlignment="1">
      <alignment horizontal="center" vertical="center" wrapText="1"/>
    </xf>
    <xf numFmtId="1" fontId="21" fillId="0" borderId="12" xfId="2" applyNumberFormat="1" applyFont="1" applyBorder="1" applyAlignment="1">
      <alignment horizontal="center" vertical="center" wrapText="1"/>
    </xf>
    <xf numFmtId="1" fontId="21" fillId="0" borderId="15" xfId="2" applyNumberFormat="1" applyFont="1" applyBorder="1" applyAlignment="1">
      <alignment horizontal="center" vertical="center" wrapText="1"/>
    </xf>
    <xf numFmtId="3" fontId="5" fillId="3" borderId="0" xfId="2" applyNumberFormat="1" applyFont="1" applyFill="1" applyAlignment="1">
      <alignment horizontal="right" vertical="center"/>
    </xf>
    <xf numFmtId="3" fontId="27" fillId="5" borderId="97" xfId="2" applyNumberFormat="1" applyFont="1" applyFill="1" applyBorder="1" applyAlignment="1">
      <alignment horizontal="center" vertical="center"/>
    </xf>
    <xf numFmtId="3" fontId="27" fillId="5" borderId="98" xfId="2" applyNumberFormat="1" applyFont="1" applyFill="1" applyBorder="1" applyAlignment="1">
      <alignment horizontal="center" vertical="center"/>
    </xf>
    <xf numFmtId="3" fontId="27" fillId="5" borderId="82" xfId="2" applyNumberFormat="1" applyFont="1" applyFill="1" applyBorder="1" applyAlignment="1">
      <alignment horizontal="center" vertical="center"/>
    </xf>
    <xf numFmtId="3" fontId="27" fillId="5" borderId="4" xfId="2" applyNumberFormat="1" applyFont="1" applyFill="1" applyBorder="1" applyAlignment="1">
      <alignment horizontal="center" vertical="center"/>
    </xf>
    <xf numFmtId="3" fontId="27" fillId="5" borderId="18" xfId="2" applyNumberFormat="1" applyFont="1" applyFill="1" applyBorder="1" applyAlignment="1">
      <alignment horizontal="center" vertical="center"/>
    </xf>
    <xf numFmtId="3" fontId="27" fillId="5" borderId="36" xfId="2" applyNumberFormat="1" applyFont="1" applyFill="1" applyBorder="1" applyAlignment="1">
      <alignment horizontal="center" vertical="center"/>
    </xf>
    <xf numFmtId="3" fontId="13" fillId="3" borderId="1" xfId="2" applyNumberFormat="1" applyFont="1" applyFill="1" applyBorder="1" applyAlignment="1">
      <alignment horizontal="center" vertical="center"/>
    </xf>
    <xf numFmtId="3" fontId="13" fillId="3" borderId="6" xfId="2" applyNumberFormat="1" applyFont="1" applyFill="1" applyBorder="1" applyAlignment="1">
      <alignment horizontal="center" vertical="center"/>
    </xf>
    <xf numFmtId="1" fontId="69" fillId="3" borderId="10" xfId="2" applyNumberFormat="1" applyFont="1" applyFill="1" applyBorder="1" applyAlignment="1">
      <alignment horizontal="center" vertical="center" wrapText="1"/>
    </xf>
    <xf numFmtId="1" fontId="69" fillId="3" borderId="9" xfId="2" applyNumberFormat="1" applyFont="1" applyFill="1" applyBorder="1" applyAlignment="1">
      <alignment horizontal="center" vertical="center" wrapText="1"/>
    </xf>
    <xf numFmtId="1" fontId="69" fillId="3" borderId="5" xfId="2" applyNumberFormat="1" applyFont="1" applyFill="1" applyBorder="1" applyAlignment="1">
      <alignment horizontal="center" vertical="center" wrapText="1"/>
    </xf>
    <xf numFmtId="3" fontId="60" fillId="5" borderId="97" xfId="2" applyNumberFormat="1" applyFont="1" applyFill="1" applyBorder="1" applyAlignment="1">
      <alignment horizontal="center" vertical="center"/>
    </xf>
    <xf numFmtId="3" fontId="60" fillId="5" borderId="98" xfId="2" applyNumberFormat="1" applyFont="1" applyFill="1" applyBorder="1" applyAlignment="1">
      <alignment horizontal="center" vertical="center"/>
    </xf>
    <xf numFmtId="3" fontId="60" fillId="5" borderId="82" xfId="2" applyNumberFormat="1" applyFont="1" applyFill="1" applyBorder="1" applyAlignment="1">
      <alignment horizontal="center" vertical="center"/>
    </xf>
    <xf numFmtId="3" fontId="68" fillId="3" borderId="105" xfId="2" applyNumberFormat="1" applyFont="1" applyFill="1" applyBorder="1" applyAlignment="1">
      <alignment horizontal="center" vertical="center" wrapText="1"/>
    </xf>
    <xf numFmtId="3" fontId="68" fillId="3" borderId="106" xfId="2" applyNumberFormat="1" applyFont="1" applyFill="1" applyBorder="1" applyAlignment="1">
      <alignment horizontal="center" vertical="center" wrapText="1"/>
    </xf>
    <xf numFmtId="3" fontId="68" fillId="3" borderId="107" xfId="2" applyNumberFormat="1" applyFont="1" applyFill="1" applyBorder="1" applyAlignment="1">
      <alignment horizontal="center" vertical="center" wrapText="1"/>
    </xf>
    <xf numFmtId="3" fontId="68" fillId="3" borderId="16" xfId="2" applyNumberFormat="1" applyFont="1" applyFill="1" applyBorder="1" applyAlignment="1">
      <alignment horizontal="center" vertical="center" wrapText="1"/>
    </xf>
    <xf numFmtId="3" fontId="68" fillId="3" borderId="5" xfId="2" applyNumberFormat="1" applyFont="1" applyFill="1" applyBorder="1" applyAlignment="1">
      <alignment horizontal="center" vertical="center" wrapText="1"/>
    </xf>
    <xf numFmtId="3" fontId="13" fillId="3" borderId="105" xfId="2" applyNumberFormat="1" applyFont="1" applyFill="1" applyBorder="1" applyAlignment="1">
      <alignment horizontal="center" vertical="center" wrapText="1"/>
    </xf>
    <xf numFmtId="3" fontId="13" fillId="3" borderId="106" xfId="2" applyNumberFormat="1" applyFont="1" applyFill="1" applyBorder="1" applyAlignment="1">
      <alignment horizontal="center" vertical="center" wrapText="1"/>
    </xf>
    <xf numFmtId="3" fontId="13" fillId="3" borderId="107" xfId="2" applyNumberFormat="1" applyFont="1" applyFill="1" applyBorder="1" applyAlignment="1">
      <alignment horizontal="center" vertical="center" wrapText="1"/>
    </xf>
    <xf numFmtId="3" fontId="13" fillId="3" borderId="17" xfId="2" applyNumberFormat="1" applyFont="1" applyFill="1" applyBorder="1" applyAlignment="1">
      <alignment horizontal="center" vertical="center"/>
    </xf>
    <xf numFmtId="3" fontId="13" fillId="3" borderId="7" xfId="2" applyNumberFormat="1" applyFont="1" applyFill="1" applyBorder="1" applyAlignment="1">
      <alignment horizontal="center" vertical="center"/>
    </xf>
    <xf numFmtId="3" fontId="13" fillId="3" borderId="4" xfId="2" applyNumberFormat="1" applyFont="1" applyFill="1" applyBorder="1" applyAlignment="1">
      <alignment horizontal="center" vertical="center"/>
    </xf>
    <xf numFmtId="3" fontId="13" fillId="3" borderId="35" xfId="2" applyNumberFormat="1" applyFont="1" applyFill="1" applyBorder="1" applyAlignment="1">
      <alignment horizontal="center" vertical="center"/>
    </xf>
    <xf numFmtId="3" fontId="68" fillId="3" borderId="9" xfId="2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3" fontId="11" fillId="4" borderId="74" xfId="2" applyNumberFormat="1" applyFont="1" applyFill="1" applyBorder="1" applyAlignment="1">
      <alignment horizontal="center" vertical="center"/>
    </xf>
    <xf numFmtId="3" fontId="11" fillId="4" borderId="76" xfId="2" applyNumberFormat="1" applyFont="1" applyFill="1" applyBorder="1" applyAlignment="1">
      <alignment horizontal="center" vertical="center"/>
    </xf>
    <xf numFmtId="3" fontId="10" fillId="5" borderId="97" xfId="2" applyNumberFormat="1" applyFont="1" applyFill="1" applyBorder="1" applyAlignment="1">
      <alignment horizontal="center" vertical="center" wrapText="1"/>
    </xf>
    <xf numFmtId="3" fontId="10" fillId="5" borderId="98" xfId="2" applyNumberFormat="1" applyFont="1" applyFill="1" applyBorder="1" applyAlignment="1">
      <alignment horizontal="center" vertical="center" wrapText="1"/>
    </xf>
    <xf numFmtId="3" fontId="10" fillId="5" borderId="75" xfId="2" applyNumberFormat="1" applyFont="1" applyFill="1" applyBorder="1" applyAlignment="1">
      <alignment horizontal="center" vertical="center" wrapText="1"/>
    </xf>
    <xf numFmtId="3" fontId="10" fillId="4" borderId="73" xfId="2" applyNumberFormat="1" applyFont="1" applyFill="1" applyBorder="1" applyAlignment="1">
      <alignment horizontal="center" vertical="center"/>
    </xf>
    <xf numFmtId="3" fontId="10" fillId="4" borderId="5" xfId="2" applyNumberFormat="1" applyFont="1" applyFill="1" applyBorder="1" applyAlignment="1">
      <alignment horizontal="center" vertical="center"/>
    </xf>
    <xf numFmtId="3" fontId="11" fillId="4" borderId="17" xfId="2" applyNumberFormat="1" applyFont="1" applyFill="1" applyBorder="1" applyAlignment="1">
      <alignment horizontal="center" vertical="center"/>
    </xf>
    <xf numFmtId="3" fontId="11" fillId="4" borderId="22" xfId="2" applyNumberFormat="1" applyFont="1" applyFill="1" applyBorder="1" applyAlignment="1">
      <alignment horizontal="center" vertical="center"/>
    </xf>
    <xf numFmtId="3" fontId="11" fillId="4" borderId="7" xfId="2" applyNumberFormat="1" applyFont="1" applyFill="1" applyBorder="1" applyAlignment="1">
      <alignment horizontal="center" vertical="center"/>
    </xf>
    <xf numFmtId="3" fontId="11" fillId="5" borderId="111" xfId="2" applyNumberFormat="1" applyFont="1" applyFill="1" applyBorder="1" applyAlignment="1">
      <alignment horizontal="center" vertical="center"/>
    </xf>
    <xf numFmtId="3" fontId="11" fillId="5" borderId="112" xfId="2" applyNumberFormat="1" applyFont="1" applyFill="1" applyBorder="1" applyAlignment="1">
      <alignment horizontal="center" vertical="center"/>
    </xf>
    <xf numFmtId="3" fontId="11" fillId="5" borderId="113" xfId="2" applyNumberFormat="1" applyFont="1" applyFill="1" applyBorder="1" applyAlignment="1">
      <alignment horizontal="center" vertical="center"/>
    </xf>
    <xf numFmtId="3" fontId="11" fillId="5" borderId="103" xfId="2" applyNumberFormat="1" applyFont="1" applyFill="1" applyBorder="1" applyAlignment="1">
      <alignment horizontal="center" vertical="center"/>
    </xf>
    <xf numFmtId="3" fontId="11" fillId="5" borderId="104" xfId="2" applyNumberFormat="1" applyFont="1" applyFill="1" applyBorder="1" applyAlignment="1">
      <alignment horizontal="center" vertical="center"/>
    </xf>
    <xf numFmtId="3" fontId="11" fillId="5" borderId="93" xfId="2" applyNumberFormat="1" applyFont="1" applyFill="1" applyBorder="1" applyAlignment="1">
      <alignment horizontal="center" vertical="center"/>
    </xf>
    <xf numFmtId="3" fontId="11" fillId="5" borderId="110" xfId="2" applyNumberFormat="1" applyFont="1" applyFill="1" applyBorder="1" applyAlignment="1">
      <alignment horizontal="center" vertical="center"/>
    </xf>
    <xf numFmtId="3" fontId="11" fillId="5" borderId="106" xfId="2" applyNumberFormat="1" applyFont="1" applyFill="1" applyBorder="1" applyAlignment="1">
      <alignment horizontal="center" vertical="center"/>
    </xf>
    <xf numFmtId="3" fontId="11" fillId="5" borderId="107" xfId="2" applyNumberFormat="1" applyFont="1" applyFill="1" applyBorder="1" applyAlignment="1">
      <alignment horizontal="center" vertical="center"/>
    </xf>
    <xf numFmtId="3" fontId="10" fillId="3" borderId="109" xfId="2" applyNumberFormat="1" applyFont="1" applyFill="1" applyBorder="1" applyAlignment="1">
      <alignment horizontal="left" vertical="center"/>
    </xf>
    <xf numFmtId="0" fontId="41" fillId="3" borderId="109" xfId="0" applyFont="1" applyFill="1" applyBorder="1" applyAlignment="1">
      <alignment horizontal="left" vertical="center"/>
    </xf>
    <xf numFmtId="3" fontId="51" fillId="6" borderId="94" xfId="2" applyNumberFormat="1" applyFont="1" applyFill="1" applyBorder="1" applyAlignment="1">
      <alignment horizontal="center" vertical="center"/>
    </xf>
    <xf numFmtId="3" fontId="51" fillId="6" borderId="45" xfId="2" applyNumberFormat="1" applyFont="1" applyFill="1" applyBorder="1" applyAlignment="1">
      <alignment horizontal="center" vertical="center"/>
    </xf>
    <xf numFmtId="3" fontId="51" fillId="6" borderId="73" xfId="2" applyNumberFormat="1" applyFont="1" applyFill="1" applyBorder="1" applyAlignment="1">
      <alignment horizontal="center" vertical="center"/>
    </xf>
    <xf numFmtId="1" fontId="60" fillId="6" borderId="10" xfId="2" applyNumberFormat="1" applyFont="1" applyFill="1" applyBorder="1" applyAlignment="1">
      <alignment horizontal="center" vertical="center" wrapText="1"/>
    </xf>
    <xf numFmtId="1" fontId="60" fillId="6" borderId="9" xfId="2" applyNumberFormat="1" applyFont="1" applyFill="1" applyBorder="1" applyAlignment="1">
      <alignment horizontal="center" vertical="center" wrapText="1"/>
    </xf>
    <xf numFmtId="1" fontId="60" fillId="6" borderId="5" xfId="2" applyNumberFormat="1" applyFont="1" applyFill="1" applyBorder="1" applyAlignment="1">
      <alignment horizontal="center" vertical="center" wrapText="1"/>
    </xf>
    <xf numFmtId="3" fontId="98" fillId="0" borderId="84" xfId="0" applyNumberFormat="1" applyFont="1" applyBorder="1" applyAlignment="1">
      <alignment horizontal="right" vertical="center" shrinkToFit="1"/>
    </xf>
    <xf numFmtId="3" fontId="98" fillId="0" borderId="87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0" fontId="101" fillId="0" borderId="17" xfId="0" applyFont="1" applyBorder="1" applyAlignment="1">
      <alignment horizontal="center" vertical="center" shrinkToFit="1"/>
    </xf>
    <xf numFmtId="0" fontId="101" fillId="0" borderId="22" xfId="0" applyFont="1" applyBorder="1" applyAlignment="1">
      <alignment horizontal="center" vertical="center" shrinkToFit="1"/>
    </xf>
    <xf numFmtId="0" fontId="101" fillId="0" borderId="7" xfId="0" applyFont="1" applyBorder="1" applyAlignment="1">
      <alignment horizontal="center" vertical="center" shrinkToFit="1"/>
    </xf>
    <xf numFmtId="0" fontId="98" fillId="0" borderId="15" xfId="0" applyFont="1" applyBorder="1" applyAlignment="1">
      <alignment horizontal="left" vertical="center" shrinkToFit="1"/>
    </xf>
    <xf numFmtId="0" fontId="97" fillId="0" borderId="15" xfId="0" applyFont="1" applyBorder="1" applyAlignment="1">
      <alignment horizontal="left" vertical="center" shrinkToFit="1"/>
    </xf>
    <xf numFmtId="0" fontId="98" fillId="0" borderId="15" xfId="0" applyFont="1" applyBorder="1" applyAlignment="1">
      <alignment vertical="center" shrinkToFit="1"/>
    </xf>
    <xf numFmtId="0" fontId="97" fillId="0" borderId="15" xfId="0" applyFont="1" applyBorder="1" applyAlignment="1">
      <alignment vertical="center" shrinkToFit="1"/>
    </xf>
    <xf numFmtId="0" fontId="97" fillId="0" borderId="89" xfId="0" applyFont="1" applyBorder="1" applyAlignment="1">
      <alignment horizontal="center" vertical="center" shrinkToFit="1"/>
    </xf>
    <xf numFmtId="0" fontId="97" fillId="0" borderId="104" xfId="0" applyFont="1" applyBorder="1" applyAlignment="1">
      <alignment horizontal="center" vertical="center" shrinkToFit="1"/>
    </xf>
    <xf numFmtId="0" fontId="97" fillId="0" borderId="128" xfId="0" applyFont="1" applyBorder="1" applyAlignment="1">
      <alignment horizontal="center" vertical="center" shrinkToFit="1"/>
    </xf>
    <xf numFmtId="49" fontId="98" fillId="0" borderId="16" xfId="0" applyNumberFormat="1" applyFont="1" applyBorder="1" applyAlignment="1">
      <alignment horizontal="center" vertical="center" shrinkToFit="1"/>
    </xf>
    <xf numFmtId="49" fontId="98" fillId="0" borderId="5" xfId="0" applyNumberFormat="1" applyFont="1" applyBorder="1" applyAlignment="1">
      <alignment horizontal="center" vertical="center" shrinkToFit="1"/>
    </xf>
    <xf numFmtId="0" fontId="97" fillId="0" borderId="92" xfId="0" applyFont="1" applyBorder="1" applyAlignment="1">
      <alignment horizontal="center" vertical="center" shrinkToFit="1"/>
    </xf>
    <xf numFmtId="0" fontId="97" fillId="0" borderId="90" xfId="0" applyFont="1" applyBorder="1" applyAlignment="1">
      <alignment horizontal="center" vertical="center" shrinkToFit="1"/>
    </xf>
    <xf numFmtId="0" fontId="97" fillId="0" borderId="131" xfId="0" applyFont="1" applyBorder="1" applyAlignment="1">
      <alignment horizontal="center" vertical="center" shrinkToFit="1"/>
    </xf>
    <xf numFmtId="0" fontId="97" fillId="0" borderId="35" xfId="0" applyFont="1" applyBorder="1" applyAlignment="1">
      <alignment horizontal="center" vertical="center" shrinkToFit="1"/>
    </xf>
    <xf numFmtId="0" fontId="77" fillId="0" borderId="0" xfId="0" applyFont="1" applyAlignment="1">
      <alignment horizontal="right" vertical="top"/>
    </xf>
    <xf numFmtId="0" fontId="48" fillId="0" borderId="33" xfId="4" applyFont="1" applyBorder="1" applyAlignment="1">
      <alignment vertical="center" wrapText="1"/>
    </xf>
    <xf numFmtId="0" fontId="81" fillId="0" borderId="33" xfId="0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92" xfId="0" applyFont="1" applyBorder="1" applyAlignment="1">
      <alignment horizontal="center" vertical="center" wrapText="1"/>
    </xf>
    <xf numFmtId="0" fontId="19" fillId="0" borderId="127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04" xfId="0" applyFont="1" applyBorder="1" applyAlignment="1">
      <alignment horizontal="center" vertical="center"/>
    </xf>
    <xf numFmtId="0" fontId="19" fillId="0" borderId="93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7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84" fillId="0" borderId="105" xfId="0" applyFont="1" applyBorder="1" applyAlignment="1">
      <alignment horizontal="center"/>
    </xf>
    <xf numFmtId="0" fontId="84" fillId="0" borderId="106" xfId="0" applyFont="1" applyBorder="1" applyAlignment="1">
      <alignment horizontal="center"/>
    </xf>
    <xf numFmtId="0" fontId="84" fillId="0" borderId="107" xfId="0" applyFont="1" applyBorder="1" applyAlignment="1">
      <alignment horizontal="center"/>
    </xf>
    <xf numFmtId="0" fontId="83" fillId="0" borderId="34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48" fillId="0" borderId="111" xfId="0" applyFont="1" applyBorder="1" applyAlignment="1">
      <alignment horizontal="center" vertical="center"/>
    </xf>
    <xf numFmtId="0" fontId="48" fillId="0" borderId="113" xfId="0" applyFont="1" applyBorder="1" applyAlignment="1">
      <alignment horizontal="center" vertical="center"/>
    </xf>
    <xf numFmtId="0" fontId="84" fillId="0" borderId="0" xfId="0" applyFont="1" applyAlignment="1">
      <alignment horizontal="left" wrapText="1"/>
    </xf>
    <xf numFmtId="0" fontId="84" fillId="0" borderId="17" xfId="0" applyFont="1" applyBorder="1" applyAlignment="1">
      <alignment horizontal="center" vertical="center" wrapText="1"/>
    </xf>
    <xf numFmtId="0" fontId="84" fillId="0" borderId="7" xfId="0" applyFont="1" applyBorder="1" applyAlignment="1">
      <alignment horizontal="center" vertical="center" wrapText="1"/>
    </xf>
    <xf numFmtId="0" fontId="84" fillId="0" borderId="31" xfId="0" applyFont="1" applyBorder="1" applyAlignment="1">
      <alignment horizontal="center" vertical="center" wrapText="1"/>
    </xf>
    <xf numFmtId="0" fontId="84" fillId="0" borderId="32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/>
    </xf>
    <xf numFmtId="0" fontId="48" fillId="0" borderId="86" xfId="0" applyFont="1" applyBorder="1" applyAlignment="1">
      <alignment horizontal="center" vertical="center"/>
    </xf>
    <xf numFmtId="0" fontId="48" fillId="0" borderId="84" xfId="0" applyFont="1" applyBorder="1" applyAlignment="1">
      <alignment horizontal="center" vertical="center"/>
    </xf>
    <xf numFmtId="0" fontId="48" fillId="0" borderId="103" xfId="0" applyFont="1" applyBorder="1" applyAlignment="1">
      <alignment horizontal="center"/>
    </xf>
    <xf numFmtId="0" fontId="48" fillId="0" borderId="93" xfId="0" applyFont="1" applyBorder="1" applyAlignment="1">
      <alignment horizontal="center"/>
    </xf>
  </cellXfs>
  <cellStyles count="7">
    <cellStyle name="Normál" xfId="0" builtinId="0"/>
    <cellStyle name="Normál_2009.évi" xfId="4"/>
    <cellStyle name="Normal_KARSZJ3" xfId="1"/>
    <cellStyle name="Normál_ktgvetés zárszám mellékletei 2" xfId="6"/>
    <cellStyle name="Normál_Munka1" xfId="5"/>
    <cellStyle name="Normál_végső rend. képv.mód-sal" xfId="2"/>
    <cellStyle name="Normál_végső rend. képv.mód-sal 2" xfId="3"/>
  </cellStyles>
  <dxfs count="0"/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0</xdr:row>
      <xdr:rowOff>38100</xdr:rowOff>
    </xdr:from>
    <xdr:to>
      <xdr:col>10</xdr:col>
      <xdr:colOff>428624</xdr:colOff>
      <xdr:row>3</xdr:row>
      <xdr:rowOff>114300</xdr:rowOff>
    </xdr:to>
    <xdr:sp macro="" textlink="">
      <xdr:nvSpPr>
        <xdr:cNvPr id="18434" name="AutoShape 1">
          <a:extLst>
            <a:ext uri="{FF2B5EF4-FFF2-40B4-BE49-F238E27FC236}">
              <a16:creationId xmlns:a16="http://schemas.microsoft.com/office/drawing/2014/main" id="{00000000-0008-0000-0000-000002480000}"/>
            </a:ext>
          </a:extLst>
        </xdr:cNvPr>
        <xdr:cNvSpPr>
          <a:spLocks noChangeArrowheads="1"/>
        </xdr:cNvSpPr>
      </xdr:nvSpPr>
      <xdr:spPr bwMode="auto">
        <a:xfrm>
          <a:off x="3486150" y="38100"/>
          <a:ext cx="4190999" cy="40005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hu-HU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melléklet </a:t>
          </a:r>
          <a:r>
            <a:rPr lang="hu-HU" sz="800" b="0" i="0" baseline="0">
              <a:effectLst/>
              <a:latin typeface="+mn-lt"/>
              <a:ea typeface="+mn-ea"/>
              <a:cs typeface="+mn-cs"/>
            </a:rPr>
            <a:t>a  </a:t>
          </a:r>
          <a:r>
            <a:rPr lang="hu-HU" sz="8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/2019. (   .)önkormányzati rendelethez</a:t>
          </a:r>
          <a:endParaRPr lang="hu-HU" sz="800" b="0" i="0" u="none" strike="noStrike" baseline="0">
            <a:solidFill>
              <a:srgbClr val="000000"/>
            </a:solidFill>
            <a:latin typeface="Times New Roman" panose="02020603050405020304" pitchFamily="18" charset="0"/>
            <a:ea typeface="Tahoma"/>
            <a:cs typeface="Times New Roman" panose="02020603050405020304" pitchFamily="18" charset="0"/>
          </a:endParaRPr>
        </a:p>
        <a:p>
          <a:pPr algn="ctr" rtl="0">
            <a:defRPr sz="1000"/>
          </a:pPr>
          <a:r>
            <a:rPr lang="hu-HU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Csengőd Község Önkormányzata - ELŐIRÁNYZAT - FELHASZNÁLÁSI TERV</a:t>
          </a:r>
        </a:p>
        <a:p>
          <a:pPr algn="ctr" rtl="0">
            <a:defRPr sz="1000"/>
          </a:pPr>
          <a:r>
            <a:rPr lang="hu-HU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( Az előirányzatok felhasználásának alakulásáról 2019. évben 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990600</xdr:colOff>
      <xdr:row>1</xdr:row>
      <xdr:rowOff>114300</xdr:rowOff>
    </xdr:from>
    <xdr:to>
      <xdr:col>3</xdr:col>
      <xdr:colOff>495300</xdr:colOff>
      <xdr:row>4</xdr:row>
      <xdr:rowOff>38100</xdr:rowOff>
    </xdr:to>
    <xdr:sp macro="" textlink="">
      <xdr:nvSpPr>
        <xdr:cNvPr id="2082" name="AutoShape 1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SpPr>
          <a:spLocks noChangeArrowheads="1"/>
        </xdr:cNvSpPr>
      </xdr:nvSpPr>
      <xdr:spPr bwMode="auto">
        <a:xfrm>
          <a:off x="1266825" y="276225"/>
          <a:ext cx="3695700" cy="40957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18288" tIns="18288" rIns="18288" bIns="0" anchor="t"/>
        <a:lstStyle/>
        <a:p>
          <a:pPr algn="ctr" rtl="0">
            <a:defRPr sz="1000"/>
          </a:pPr>
          <a:r>
            <a:rPr lang="hu-HU" sz="7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2.  melléklet a  </a:t>
          </a:r>
          <a:r>
            <a:rPr lang="hu-HU" sz="700" b="0" i="0" u="none" strike="noStrike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/</a:t>
          </a:r>
          <a:r>
            <a:rPr lang="hu-HU" sz="7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2019. (    .)</a:t>
          </a:r>
          <a:r>
            <a:rPr lang="hu-HU" sz="7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önkormányzati rendelethez</a:t>
          </a:r>
        </a:p>
        <a:p>
          <a:pPr algn="ctr" rtl="0">
            <a:defRPr sz="1000"/>
          </a:pPr>
          <a:r>
            <a:rPr lang="hu-HU" sz="7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Csengőd Község 2019. ÉVI KÖLTSÉGVETÉSÉNEK</a:t>
          </a:r>
        </a:p>
        <a:p>
          <a:pPr algn="ctr" rtl="0">
            <a:defRPr sz="1000"/>
          </a:pPr>
          <a:r>
            <a:rPr lang="hu-HU" sz="7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ÖSSZEVONT MÉRLEGE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895349</xdr:colOff>
      <xdr:row>0</xdr:row>
      <xdr:rowOff>85725</xdr:rowOff>
    </xdr:from>
    <xdr:to>
      <xdr:col>4</xdr:col>
      <xdr:colOff>4943474</xdr:colOff>
      <xdr:row>2</xdr:row>
      <xdr:rowOff>104775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2628899" y="85725"/>
          <a:ext cx="4048125" cy="36195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00000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7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3. melléklet a </a:t>
          </a:r>
          <a:r>
            <a:rPr lang="hu-HU" sz="1000" b="0" i="0" baseline="0">
              <a:effectLst/>
              <a:latin typeface="+mn-lt"/>
              <a:ea typeface="+mn-ea"/>
              <a:cs typeface="+mn-cs"/>
            </a:rPr>
            <a:t>a  /2019. (     .)önkormányzati rendelethez</a:t>
          </a:r>
          <a:endParaRPr lang="hu-HU" sz="700" b="0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 rtl="0">
            <a:defRPr sz="1000"/>
          </a:pPr>
          <a:r>
            <a:rPr lang="hu-HU" sz="7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2019. ÉVI KÖLTSÉGVETÉSI BEVÉTELEK ÉS KIADÁSOK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828675</xdr:colOff>
      <xdr:row>0</xdr:row>
      <xdr:rowOff>133350</xdr:rowOff>
    </xdr:from>
    <xdr:to>
      <xdr:col>10</xdr:col>
      <xdr:colOff>381000</xdr:colOff>
      <xdr:row>2</xdr:row>
      <xdr:rowOff>500062</xdr:rowOff>
    </xdr:to>
    <xdr:sp macro="" textlink="">
      <xdr:nvSpPr>
        <xdr:cNvPr id="4097" name="AutoShape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>
          <a:spLocks noChangeArrowheads="1"/>
        </xdr:cNvSpPr>
      </xdr:nvSpPr>
      <xdr:spPr bwMode="auto">
        <a:xfrm>
          <a:off x="1745456" y="133350"/>
          <a:ext cx="6100763" cy="735806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Tahoma"/>
              <a:cs typeface="Times New Roman" panose="02020603050405020304" pitchFamily="18" charset="0"/>
            </a:rPr>
            <a:t>4. melléklet  </a:t>
          </a:r>
          <a:r>
            <a:rPr lang="hu-HU" sz="8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  /2019. (    .)önkormányzati rendelethez</a:t>
          </a:r>
          <a:endParaRPr lang="hu-HU" sz="800" b="0" i="0" u="none" strike="noStrike" baseline="0">
            <a:solidFill>
              <a:srgbClr val="000000"/>
            </a:solidFill>
            <a:latin typeface="Times New Roman" panose="02020603050405020304" pitchFamily="18" charset="0"/>
            <a:ea typeface="Tahoma"/>
            <a:cs typeface="Times New Roman" panose="02020603050405020304" pitchFamily="18" charset="0"/>
          </a:endParaRPr>
        </a:p>
        <a:p>
          <a:pPr algn="ctr" rtl="0">
            <a:lnSpc>
              <a:spcPts val="700"/>
            </a:lnSpc>
            <a:defRPr sz="1000"/>
          </a:pPr>
          <a:r>
            <a:rPr lang="hu-HU" sz="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Tahoma"/>
              <a:cs typeface="Times New Roman" panose="02020603050405020304" pitchFamily="18" charset="0"/>
            </a:rPr>
            <a:t> AZ ÖNKORMÁNYZAT ÁLTAL IRÁNYÍTOTT KÖLTSÉGVETÉSI SZERVEK  2019. ÉVI BEVÉTELEI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2162175</xdr:colOff>
      <xdr:row>0</xdr:row>
      <xdr:rowOff>133350</xdr:rowOff>
    </xdr:from>
    <xdr:to>
      <xdr:col>13</xdr:col>
      <xdr:colOff>38100</xdr:colOff>
      <xdr:row>3</xdr:row>
      <xdr:rowOff>47624</xdr:rowOff>
    </xdr:to>
    <xdr:sp macro="" textlink="">
      <xdr:nvSpPr>
        <xdr:cNvPr id="32769" name="AutoShape 1">
          <a:extLst>
            <a:ext uri="{FF2B5EF4-FFF2-40B4-BE49-F238E27FC236}">
              <a16:creationId xmlns:a16="http://schemas.microsoft.com/office/drawing/2014/main" id="{00000000-0008-0000-0400-000001800000}"/>
            </a:ext>
          </a:extLst>
        </xdr:cNvPr>
        <xdr:cNvSpPr>
          <a:spLocks noChangeArrowheads="1"/>
        </xdr:cNvSpPr>
      </xdr:nvSpPr>
      <xdr:spPr bwMode="auto">
        <a:xfrm>
          <a:off x="3028950" y="133350"/>
          <a:ext cx="5105400" cy="400049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00000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5. melléklet </a:t>
          </a:r>
          <a:r>
            <a:rPr lang="hu-HU" sz="1000" b="0" i="0" baseline="0">
              <a:effectLst/>
              <a:latin typeface="+mn-lt"/>
              <a:ea typeface="+mn-ea"/>
              <a:cs typeface="+mn-cs"/>
            </a:rPr>
            <a:t>a   /2019. (  )önkormányzati rendelethez</a:t>
          </a:r>
          <a:endParaRPr lang="hu-HU" sz="7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r>
            <a:rPr lang="hu-HU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2019. ÉVI KÖLTSÉGVETÉSI KIADÁSOK</a:t>
          </a:r>
        </a:p>
        <a:p>
          <a:pPr algn="ctr" rtl="0">
            <a:defRPr sz="1000"/>
          </a:pPr>
          <a:r>
            <a:rPr lang="hu-HU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( Címek, alcímek és kiemelt előirányzatok szerint 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1</xdr:row>
      <xdr:rowOff>57150</xdr:rowOff>
    </xdr:from>
    <xdr:to>
      <xdr:col>2</xdr:col>
      <xdr:colOff>5534025</xdr:colOff>
      <xdr:row>2</xdr:row>
      <xdr:rowOff>352425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581025" y="209550"/>
          <a:ext cx="5381625" cy="44767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000000"/>
          </a:outerShdw>
        </a:effec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Tahoma"/>
              <a:cs typeface="Times New Roman" panose="02020603050405020304" pitchFamily="18" charset="0"/>
            </a:rPr>
            <a:t>6.  melléklet a </a:t>
          </a:r>
          <a:r>
            <a:rPr lang="hu-HU" sz="8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  /2019. (   .)önkormányzati rendelethez</a:t>
          </a:r>
          <a:endParaRPr lang="hu-HU" sz="800" b="0" i="0" u="none" strike="noStrike" baseline="0">
            <a:solidFill>
              <a:srgbClr val="000000"/>
            </a:solidFill>
            <a:latin typeface="Times New Roman" panose="02020603050405020304" pitchFamily="18" charset="0"/>
            <a:ea typeface="Tahoma"/>
            <a:cs typeface="Times New Roman" panose="02020603050405020304" pitchFamily="18" charset="0"/>
          </a:endParaRPr>
        </a:p>
        <a:p>
          <a:pPr algn="ctr" rtl="0">
            <a:defRPr sz="1000"/>
          </a:pPr>
          <a:r>
            <a:rPr lang="hu-HU" sz="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Tahoma"/>
              <a:cs typeface="Times New Roman" panose="02020603050405020304" pitchFamily="18" charset="0"/>
            </a:rPr>
            <a:t>2019. ÉVI BERUHÁZÁSOK, FELÚJÍTÁSOK , EGYÉB FELHALMOZÁSI JELLEGŰ KIADÁSOK, FINANSZÍROZÁSI KIADÁSOK</a:t>
          </a:r>
        </a:p>
        <a:p>
          <a:pPr algn="ctr" rtl="0">
            <a:defRPr sz="1000"/>
          </a:pPr>
          <a:r>
            <a:rPr lang="hu-HU" sz="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Tahoma"/>
              <a:cs typeface="Times New Roman" panose="02020603050405020304" pitchFamily="18" charset="0"/>
            </a:rPr>
            <a:t>( beruházásonként, felújításonként 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95249</xdr:rowOff>
    </xdr:from>
    <xdr:to>
      <xdr:col>4</xdr:col>
      <xdr:colOff>47625</xdr:colOff>
      <xdr:row>3</xdr:row>
      <xdr:rowOff>266699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14300" y="95249"/>
          <a:ext cx="5543550" cy="65722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000000"/>
          </a:outerShdw>
        </a:effectLst>
      </xdr:spPr>
      <xdr:txBody>
        <a:bodyPr vertOverflow="clip" wrap="square" lIns="27432" tIns="22860" rIns="27432" bIns="0" anchor="t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Tahoma"/>
              <a:cs typeface="Times New Roman" panose="02020603050405020304" pitchFamily="18" charset="0"/>
            </a:rPr>
            <a:t>7. melléklet </a:t>
          </a:r>
          <a:r>
            <a:rPr lang="hu-HU" sz="8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  /2019. (   .)önkormányzati rendelethez</a:t>
          </a:r>
          <a:endParaRPr lang="hu-HU" sz="800" b="0" i="0" u="none" strike="noStrike" baseline="0">
            <a:solidFill>
              <a:srgbClr val="000000"/>
            </a:solidFill>
            <a:latin typeface="Times New Roman" panose="02020603050405020304" pitchFamily="18" charset="0"/>
            <a:ea typeface="Tahoma"/>
            <a:cs typeface="Times New Roman" panose="02020603050405020304" pitchFamily="18" charset="0"/>
          </a:endParaRPr>
        </a:p>
        <a:p>
          <a:pPr algn="ctr" rtl="0">
            <a:defRPr sz="1000"/>
          </a:pPr>
          <a:r>
            <a:rPr lang="hu-HU" sz="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Tahoma"/>
              <a:cs typeface="Times New Roman" panose="02020603050405020304" pitchFamily="18" charset="0"/>
            </a:rPr>
            <a:t>CSENGŐD KÖZSÉG ÖNKORMÁNYZATA</a:t>
          </a:r>
        </a:p>
        <a:p>
          <a:pPr algn="ctr" rtl="0">
            <a:defRPr sz="1000"/>
          </a:pPr>
          <a:r>
            <a:rPr lang="hu-HU" sz="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Tahoma"/>
              <a:cs typeface="Times New Roman" panose="02020603050405020304" pitchFamily="18" charset="0"/>
            </a:rPr>
            <a:t>2019. ÉVI CÉLTARTALÉKA</a:t>
          </a:r>
        </a:p>
        <a:p>
          <a:pPr algn="ctr" rtl="0">
            <a:defRPr sz="1000"/>
          </a:pPr>
          <a:r>
            <a:rPr lang="hu-HU" sz="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Tahoma"/>
              <a:cs typeface="Times New Roman" panose="02020603050405020304" pitchFamily="18" charset="0"/>
            </a:rPr>
            <a:t>(feladatonként)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171448</xdr:rowOff>
    </xdr:from>
    <xdr:to>
      <xdr:col>7</xdr:col>
      <xdr:colOff>171450</xdr:colOff>
      <xdr:row>4</xdr:row>
      <xdr:rowOff>142875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219200" y="333373"/>
          <a:ext cx="3390900" cy="542927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000000"/>
          </a:outerShdw>
        </a:effectLst>
      </xdr:spPr>
      <xdr:txBody>
        <a:bodyPr vertOverflow="clip" wrap="square" lIns="27432" tIns="22860" rIns="27432" bIns="0" anchor="t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Tahoma"/>
              <a:cs typeface="Times New Roman" panose="02020603050405020304" pitchFamily="18" charset="0"/>
            </a:rPr>
            <a:t>8  melléklet </a:t>
          </a:r>
          <a:r>
            <a:rPr lang="hu-HU" sz="8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  /2019. (II..)önkormányzati rendelethez</a:t>
          </a:r>
          <a:endParaRPr lang="hu-HU" sz="800" b="0" i="0" u="none" strike="noStrike" baseline="0">
            <a:solidFill>
              <a:srgbClr val="000000"/>
            </a:solidFill>
            <a:latin typeface="Times New Roman" panose="02020603050405020304" pitchFamily="18" charset="0"/>
            <a:ea typeface="Tahoma"/>
            <a:cs typeface="Times New Roman" panose="02020603050405020304" pitchFamily="18" charset="0"/>
          </a:endParaRPr>
        </a:p>
        <a:p>
          <a:pPr algn="ctr" rtl="0">
            <a:defRPr sz="1000"/>
          </a:pPr>
          <a:r>
            <a:rPr lang="hu-HU" sz="8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Tahoma"/>
              <a:cs typeface="Times New Roman" panose="02020603050405020304" pitchFamily="18" charset="0"/>
            </a:rPr>
            <a:t>CSENGŐD KÖZSÉG 2019. ÉVI EURÓPAI UNIÓS FORRÁSBÓL FINANSZÍROZOTT TÁMOGATÁSSAL MEGVALÓSULÓ PROGRAMJAI, PROJEKTJEI, ILLETVE ILYEN PROJEKTEKHEZ TÖRTÉNŐ HOZZÁJÁRULÁSAI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0</xdr:row>
      <xdr:rowOff>0</xdr:rowOff>
    </xdr:from>
    <xdr:to>
      <xdr:col>6</xdr:col>
      <xdr:colOff>228600</xdr:colOff>
      <xdr:row>3</xdr:row>
      <xdr:rowOff>85725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200150" y="0"/>
          <a:ext cx="2686050" cy="57150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7961" dir="2700000" algn="ctr" rotWithShape="0">
            <a:srgbClr val="00000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7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9. melléklet </a:t>
          </a:r>
          <a:r>
            <a:rPr lang="hu-HU" sz="10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  /2019. (II..)önkormányzati rendelethez</a:t>
          </a:r>
          <a:endParaRPr lang="hu-HU" sz="7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 rtl="0">
            <a:defRPr sz="1000"/>
          </a:pPr>
          <a:r>
            <a:rPr lang="hu-HU" sz="7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Több éves kihatással járó döntések (előirányzatai) számszerűsítése évenkénti bontásban és összesítve</a:t>
          </a:r>
          <a:endParaRPr lang="hu-HU" sz="7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 rtl="0">
            <a:defRPr sz="1000"/>
          </a:pPr>
          <a:endParaRPr lang="hu-HU" sz="7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seng&#337;d\K&#233;pvisel&#337;-test&#252;leti%20&#252;l&#233;s\2018-01-30\K&#246;z&#233;pt&#225;v&#250;%20tervez&#233;s%202019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16">
          <cell r="F16">
            <v>50131000</v>
          </cell>
          <cell r="G16">
            <v>52813620</v>
          </cell>
          <cell r="H16">
            <v>58027892.400000006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view="pageBreakPreview" topLeftCell="A4" zoomScale="70" zoomScaleSheetLayoutView="70" workbookViewId="0">
      <selection activeCell="C24" sqref="C24:N24"/>
    </sheetView>
  </sheetViews>
  <sheetFormatPr defaultColWidth="7.7109375" defaultRowHeight="12.75" x14ac:dyDescent="0.2"/>
  <cols>
    <col min="1" max="1" width="3.140625" style="77" customWidth="1"/>
    <col min="2" max="2" width="32.140625" style="77" customWidth="1"/>
    <col min="3" max="3" width="16.85546875" style="77" customWidth="1"/>
    <col min="4" max="4" width="10.7109375" style="77" customWidth="1"/>
    <col min="5" max="5" width="13.28515625" style="77" customWidth="1"/>
    <col min="6" max="7" width="11.7109375" style="77" customWidth="1"/>
    <col min="8" max="8" width="11.5703125" style="77" customWidth="1"/>
    <col min="9" max="9" width="10.85546875" style="77" customWidth="1"/>
    <col min="10" max="10" width="12" style="77" customWidth="1"/>
    <col min="11" max="11" width="11.140625" style="77" customWidth="1"/>
    <col min="12" max="12" width="13.5703125" style="77" customWidth="1"/>
    <col min="13" max="13" width="13.42578125" style="77" customWidth="1"/>
    <col min="14" max="14" width="17.140625" style="77" customWidth="1"/>
    <col min="15" max="15" width="11.5703125" style="77" customWidth="1"/>
    <col min="16" max="16" width="18.85546875" style="1" customWidth="1"/>
    <col min="17" max="16384" width="7.7109375" style="1"/>
  </cols>
  <sheetData>
    <row r="1" spans="1:19" x14ac:dyDescent="0.2">
      <c r="L1" s="929"/>
      <c r="M1" s="929"/>
      <c r="N1" s="929"/>
      <c r="O1" s="929"/>
    </row>
    <row r="2" spans="1:19" x14ac:dyDescent="0.2">
      <c r="L2" s="192"/>
      <c r="M2" s="192"/>
      <c r="N2" s="192"/>
      <c r="O2" s="192"/>
    </row>
    <row r="4" spans="1:19" ht="13.5" customHeight="1" thickBot="1" x14ac:dyDescent="0.25">
      <c r="L4" s="78"/>
      <c r="O4" s="79"/>
    </row>
    <row r="5" spans="1:19" ht="17.25" customHeight="1" thickBot="1" x14ac:dyDescent="0.25">
      <c r="A5" s="930" t="s">
        <v>1</v>
      </c>
      <c r="B5" s="931"/>
      <c r="C5" s="931"/>
      <c r="D5" s="931"/>
      <c r="E5" s="931"/>
      <c r="F5" s="931"/>
      <c r="G5" s="931"/>
      <c r="H5" s="931"/>
      <c r="I5" s="931"/>
      <c r="J5" s="931"/>
      <c r="K5" s="931"/>
      <c r="L5" s="931"/>
      <c r="M5" s="931"/>
      <c r="N5" s="931"/>
      <c r="O5" s="932"/>
    </row>
    <row r="6" spans="1:19" s="2" customFormat="1" x14ac:dyDescent="0.2">
      <c r="A6" s="82"/>
      <c r="B6" s="80"/>
      <c r="C6" s="83" t="s">
        <v>2</v>
      </c>
      <c r="D6" s="83" t="s">
        <v>3</v>
      </c>
      <c r="E6" s="83" t="s">
        <v>4</v>
      </c>
      <c r="F6" s="83" t="s">
        <v>5</v>
      </c>
      <c r="G6" s="83" t="s">
        <v>6</v>
      </c>
      <c r="H6" s="83" t="s">
        <v>7</v>
      </c>
      <c r="I6" s="83" t="s">
        <v>8</v>
      </c>
      <c r="J6" s="83" t="s">
        <v>9</v>
      </c>
      <c r="K6" s="83" t="s">
        <v>10</v>
      </c>
      <c r="L6" s="83" t="s">
        <v>11</v>
      </c>
      <c r="M6" s="83" t="s">
        <v>12</v>
      </c>
      <c r="N6" s="83" t="s">
        <v>13</v>
      </c>
      <c r="O6" s="92" t="s">
        <v>14</v>
      </c>
      <c r="Q6" s="98"/>
    </row>
    <row r="7" spans="1:19" ht="33.75" customHeight="1" x14ac:dyDescent="0.2">
      <c r="A7" s="155" t="s">
        <v>15</v>
      </c>
      <c r="B7" s="156" t="s">
        <v>69</v>
      </c>
      <c r="C7" s="882">
        <f>O7/12-4+76602</f>
        <v>1245851.9166666667</v>
      </c>
      <c r="D7" s="882">
        <f>935167+70219</f>
        <v>1005386</v>
      </c>
      <c r="E7" s="882">
        <f t="shared" ref="E7:L7" si="0">935167+70219</f>
        <v>1005386</v>
      </c>
      <c r="F7" s="882">
        <f>935167+70219+755452</f>
        <v>1760838</v>
      </c>
      <c r="G7" s="882">
        <f t="shared" si="0"/>
        <v>1005386</v>
      </c>
      <c r="H7" s="882">
        <f t="shared" si="0"/>
        <v>1005386</v>
      </c>
      <c r="I7" s="882">
        <f t="shared" si="0"/>
        <v>1005386</v>
      </c>
      <c r="J7" s="882">
        <f t="shared" si="0"/>
        <v>1005386</v>
      </c>
      <c r="K7" s="882">
        <f>935167+70219+1050803</f>
        <v>2056189</v>
      </c>
      <c r="L7" s="882">
        <f t="shared" si="0"/>
        <v>1005386</v>
      </c>
      <c r="M7" s="882">
        <f>935167+70219+64364</f>
        <v>1069750</v>
      </c>
      <c r="N7" s="882">
        <f>935167+70219+5851-62954</f>
        <v>948283</v>
      </c>
      <c r="O7" s="157">
        <f>'2 mérleg'!E20</f>
        <v>14031047</v>
      </c>
      <c r="P7" s="34"/>
      <c r="Q7" s="34"/>
      <c r="R7" s="34"/>
      <c r="S7" s="34"/>
    </row>
    <row r="8" spans="1:19" ht="25.5" customHeight="1" x14ac:dyDescent="0.2">
      <c r="A8" s="158" t="s">
        <v>16</v>
      </c>
      <c r="B8" s="159" t="s">
        <v>156</v>
      </c>
      <c r="C8" s="890">
        <f>O8/12</f>
        <v>22418267</v>
      </c>
      <c r="D8" s="890">
        <v>20095346</v>
      </c>
      <c r="E8" s="890">
        <f>20095346</f>
        <v>20095346</v>
      </c>
      <c r="F8" s="890">
        <f>20095346+4627336</f>
        <v>24722682</v>
      </c>
      <c r="G8" s="890">
        <v>20095346</v>
      </c>
      <c r="H8" s="890">
        <v>20095346</v>
      </c>
      <c r="I8" s="890">
        <v>20095346</v>
      </c>
      <c r="J8" s="890">
        <v>20095346</v>
      </c>
      <c r="K8" s="890">
        <v>20095346</v>
      </c>
      <c r="L8" s="890">
        <v>20095346</v>
      </c>
      <c r="M8" s="890">
        <v>20095346</v>
      </c>
      <c r="N8" s="890">
        <f>20095346+14287523+2877736+3759536</f>
        <v>41020141</v>
      </c>
      <c r="O8" s="160">
        <f>'2 mérleg'!E22</f>
        <v>269019204</v>
      </c>
      <c r="P8" s="34"/>
      <c r="Q8" s="34"/>
      <c r="R8" s="34"/>
      <c r="S8" s="34"/>
    </row>
    <row r="9" spans="1:19" ht="30" customHeight="1" x14ac:dyDescent="0.2">
      <c r="A9" s="158" t="s">
        <v>17</v>
      </c>
      <c r="B9" s="161" t="s">
        <v>157</v>
      </c>
      <c r="C9" s="880"/>
      <c r="D9" s="880"/>
      <c r="E9" s="891">
        <v>102274213</v>
      </c>
      <c r="F9" s="891"/>
      <c r="G9" s="891"/>
      <c r="H9" s="891"/>
      <c r="I9" s="891"/>
      <c r="J9" s="891">
        <v>50000000</v>
      </c>
      <c r="K9" s="891"/>
      <c r="L9" s="880"/>
      <c r="M9" s="880"/>
      <c r="N9" s="881"/>
      <c r="O9" s="160">
        <f>'2 mérleg'!E23</f>
        <v>152274213</v>
      </c>
      <c r="P9" s="34"/>
      <c r="Q9" s="34"/>
      <c r="R9" s="34"/>
      <c r="S9" s="34"/>
    </row>
    <row r="10" spans="1:19" x14ac:dyDescent="0.2">
      <c r="A10" s="158" t="s">
        <v>18</v>
      </c>
      <c r="B10" s="159" t="s">
        <v>68</v>
      </c>
      <c r="C10" s="890">
        <v>237037</v>
      </c>
      <c r="D10" s="890">
        <v>237037</v>
      </c>
      <c r="E10" s="890">
        <f>36400000/3+1</f>
        <v>12133334.333333334</v>
      </c>
      <c r="F10" s="890">
        <v>237037</v>
      </c>
      <c r="G10" s="890">
        <v>237037</v>
      </c>
      <c r="H10" s="890">
        <v>237037</v>
      </c>
      <c r="I10" s="890">
        <v>237037</v>
      </c>
      <c r="J10" s="890">
        <v>237037</v>
      </c>
      <c r="K10" s="890">
        <v>12133333</v>
      </c>
      <c r="L10" s="890">
        <v>237037</v>
      </c>
      <c r="M10" s="890">
        <v>10000000</v>
      </c>
      <c r="N10" s="890">
        <f>237037+5000000</f>
        <v>5237037</v>
      </c>
      <c r="O10" s="160">
        <f>'2 mérleg'!E24</f>
        <v>41400000</v>
      </c>
      <c r="P10" s="34"/>
      <c r="Q10" s="34"/>
      <c r="R10" s="34"/>
      <c r="S10" s="34"/>
    </row>
    <row r="11" spans="1:19" x14ac:dyDescent="0.2">
      <c r="A11" s="158" t="s">
        <v>19</v>
      </c>
      <c r="B11" s="159" t="s">
        <v>158</v>
      </c>
      <c r="C11" s="881"/>
      <c r="D11" s="890">
        <v>1784583</v>
      </c>
      <c r="E11" s="890">
        <f>1784583*2</f>
        <v>3569166</v>
      </c>
      <c r="F11" s="890">
        <v>1784583</v>
      </c>
      <c r="G11" s="890">
        <v>1784583</v>
      </c>
      <c r="H11" s="890">
        <v>1784583</v>
      </c>
      <c r="I11" s="890">
        <f>1784583*2</f>
        <v>3569166</v>
      </c>
      <c r="J11" s="890">
        <v>1784583</v>
      </c>
      <c r="K11" s="890">
        <f>1784583-500000</f>
        <v>1284583</v>
      </c>
      <c r="L11" s="890">
        <f>1784583+4</f>
        <v>1784587</v>
      </c>
      <c r="M11" s="890">
        <v>1784583</v>
      </c>
      <c r="N11" s="890">
        <v>500000</v>
      </c>
      <c r="O11" s="160">
        <f>'2 mérleg'!E25</f>
        <v>21415000</v>
      </c>
      <c r="P11" s="34"/>
      <c r="Q11" s="34"/>
      <c r="R11" s="34"/>
      <c r="S11" s="34"/>
    </row>
    <row r="12" spans="1:19" ht="13.5" customHeight="1" x14ac:dyDescent="0.2">
      <c r="A12" s="158" t="s">
        <v>20</v>
      </c>
      <c r="B12" s="159" t="s">
        <v>159</v>
      </c>
      <c r="C12" s="881"/>
      <c r="D12" s="890">
        <v>1500000</v>
      </c>
      <c r="E12" s="881"/>
      <c r="F12" s="881"/>
      <c r="G12" s="881"/>
      <c r="H12" s="881"/>
      <c r="I12" s="881"/>
      <c r="J12" s="881"/>
      <c r="K12" s="881"/>
      <c r="L12" s="881"/>
      <c r="M12" s="881"/>
      <c r="N12" s="890">
        <f>O12-1500000</f>
        <v>1687454</v>
      </c>
      <c r="O12" s="160">
        <f>'2 mérleg'!E26+'2 mérleg'!D20</f>
        <v>3187454</v>
      </c>
      <c r="P12" s="34"/>
      <c r="Q12" s="34"/>
      <c r="R12" s="34"/>
      <c r="S12" s="34"/>
    </row>
    <row r="13" spans="1:19" x14ac:dyDescent="0.2">
      <c r="A13" s="158" t="s">
        <v>21</v>
      </c>
      <c r="B13" s="159" t="s">
        <v>155</v>
      </c>
      <c r="C13" s="881"/>
      <c r="D13" s="881"/>
      <c r="E13" s="881"/>
      <c r="F13" s="881"/>
      <c r="G13" s="881"/>
      <c r="H13" s="881"/>
      <c r="I13" s="881"/>
      <c r="J13" s="881"/>
      <c r="K13" s="881"/>
      <c r="L13" s="881"/>
      <c r="M13" s="881"/>
      <c r="N13" s="881"/>
      <c r="O13" s="160">
        <f>'2 mérleg'!E27</f>
        <v>0</v>
      </c>
      <c r="P13" s="34"/>
      <c r="Q13" s="34"/>
      <c r="R13" s="34"/>
      <c r="S13" s="34"/>
    </row>
    <row r="14" spans="1:19" ht="13.5" customHeight="1" x14ac:dyDescent="0.2">
      <c r="A14" s="158" t="s">
        <v>22</v>
      </c>
      <c r="B14" s="159" t="s">
        <v>154</v>
      </c>
      <c r="C14" s="881"/>
      <c r="D14" s="881"/>
      <c r="E14" s="881"/>
      <c r="F14" s="881"/>
      <c r="G14" s="881"/>
      <c r="H14" s="881"/>
      <c r="I14" s="881"/>
      <c r="J14" s="881"/>
      <c r="K14" s="881"/>
      <c r="L14" s="881"/>
      <c r="M14" s="881"/>
      <c r="N14" s="881"/>
      <c r="O14" s="160">
        <f>'2 mérleg'!E28</f>
        <v>0</v>
      </c>
      <c r="P14" s="34"/>
      <c r="Q14" s="34"/>
      <c r="R14" s="34"/>
      <c r="S14" s="34"/>
    </row>
    <row r="15" spans="1:19" ht="13.5" thickBot="1" x14ac:dyDescent="0.25">
      <c r="A15" s="158" t="s">
        <v>23</v>
      </c>
      <c r="B15" s="159" t="s">
        <v>96</v>
      </c>
      <c r="C15" s="890">
        <f>'2 mérleg'!C36+'2 mérleg'!D36+12500000</f>
        <v>306017868</v>
      </c>
      <c r="D15" s="890">
        <v>12500000</v>
      </c>
      <c r="E15" s="890">
        <v>12500000</v>
      </c>
      <c r="F15" s="890">
        <v>12500000</v>
      </c>
      <c r="G15" s="890">
        <f>12500000</f>
        <v>12500000</v>
      </c>
      <c r="H15" s="890">
        <v>12500000</v>
      </c>
      <c r="I15" s="890">
        <v>12500000</v>
      </c>
      <c r="J15" s="890">
        <v>12500000</v>
      </c>
      <c r="K15" s="890">
        <v>12500000</v>
      </c>
      <c r="L15" s="890">
        <v>12500000</v>
      </c>
      <c r="M15" s="890">
        <v>12500000</v>
      </c>
      <c r="N15" s="890">
        <f>12500000+7400341</f>
        <v>19900341</v>
      </c>
      <c r="O15" s="160">
        <f>'2 mérleg'!E32</f>
        <v>450918209</v>
      </c>
      <c r="P15" s="34"/>
      <c r="Q15" s="34"/>
      <c r="R15" s="34"/>
      <c r="S15" s="34"/>
    </row>
    <row r="16" spans="1:19" s="3" customFormat="1" ht="14.25" thickTop="1" thickBot="1" x14ac:dyDescent="0.25">
      <c r="A16" s="933" t="s">
        <v>14</v>
      </c>
      <c r="B16" s="934"/>
      <c r="C16" s="162">
        <f>SUM(C7:C15)</f>
        <v>329919023.91666669</v>
      </c>
      <c r="D16" s="162">
        <f t="shared" ref="D16:N16" si="1">SUM(D7:D15)</f>
        <v>37122352</v>
      </c>
      <c r="E16" s="162">
        <f t="shared" si="1"/>
        <v>151577445.33333334</v>
      </c>
      <c r="F16" s="162">
        <f t="shared" si="1"/>
        <v>41005140</v>
      </c>
      <c r="G16" s="162">
        <f>SUM(G7:G15)</f>
        <v>35622352</v>
      </c>
      <c r="H16" s="162">
        <f t="shared" si="1"/>
        <v>35622352</v>
      </c>
      <c r="I16" s="162">
        <f t="shared" si="1"/>
        <v>37406935</v>
      </c>
      <c r="J16" s="162">
        <f t="shared" si="1"/>
        <v>85622352</v>
      </c>
      <c r="K16" s="162">
        <f t="shared" si="1"/>
        <v>48069451</v>
      </c>
      <c r="L16" s="162">
        <f t="shared" si="1"/>
        <v>35622356</v>
      </c>
      <c r="M16" s="162">
        <f t="shared" si="1"/>
        <v>45449679</v>
      </c>
      <c r="N16" s="162">
        <f t="shared" si="1"/>
        <v>69293256</v>
      </c>
      <c r="O16" s="163">
        <f>SUM(O7:O15)</f>
        <v>952245127</v>
      </c>
      <c r="P16" s="34"/>
      <c r="Q16" s="34"/>
      <c r="R16" s="34"/>
      <c r="S16" s="34"/>
    </row>
    <row r="17" spans="1:19" ht="7.5" customHeight="1" thickTop="1" thickBot="1" x14ac:dyDescent="0.25">
      <c r="A17" s="164"/>
      <c r="B17" s="165"/>
      <c r="C17" s="166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8"/>
      <c r="P17" s="34"/>
      <c r="Q17" s="34"/>
      <c r="R17" s="34"/>
      <c r="S17" s="34"/>
    </row>
    <row r="18" spans="1:19" ht="3.75" customHeight="1" x14ac:dyDescent="0.2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70"/>
      <c r="P18" s="34"/>
      <c r="Q18" s="34"/>
      <c r="R18" s="34"/>
      <c r="S18" s="34"/>
    </row>
    <row r="19" spans="1:19" ht="7.5" customHeight="1" thickBot="1" x14ac:dyDescent="0.25">
      <c r="A19" s="16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71" t="s">
        <v>59</v>
      </c>
      <c r="P19" s="34"/>
      <c r="Q19" s="34"/>
      <c r="R19" s="34"/>
      <c r="S19" s="34"/>
    </row>
    <row r="20" spans="1:19" ht="16.5" customHeight="1" thickBot="1" x14ac:dyDescent="0.25">
      <c r="A20" s="935" t="s">
        <v>24</v>
      </c>
      <c r="B20" s="936"/>
      <c r="C20" s="936"/>
      <c r="D20" s="936"/>
      <c r="E20" s="936"/>
      <c r="F20" s="936"/>
      <c r="G20" s="936"/>
      <c r="H20" s="936"/>
      <c r="I20" s="936"/>
      <c r="J20" s="936"/>
      <c r="K20" s="936"/>
      <c r="L20" s="936"/>
      <c r="M20" s="936"/>
      <c r="N20" s="936"/>
      <c r="O20" s="937"/>
      <c r="P20" s="34"/>
      <c r="Q20" s="34"/>
      <c r="R20" s="34"/>
      <c r="S20" s="34"/>
    </row>
    <row r="21" spans="1:19" s="2" customFormat="1" x14ac:dyDescent="0.2">
      <c r="A21" s="172"/>
      <c r="B21" s="173"/>
      <c r="C21" s="174" t="s">
        <v>2</v>
      </c>
      <c r="D21" s="174" t="s">
        <v>3</v>
      </c>
      <c r="E21" s="174" t="s">
        <v>4</v>
      </c>
      <c r="F21" s="174" t="s">
        <v>5</v>
      </c>
      <c r="G21" s="174" t="s">
        <v>6</v>
      </c>
      <c r="H21" s="174" t="s">
        <v>7</v>
      </c>
      <c r="I21" s="174" t="s">
        <v>8</v>
      </c>
      <c r="J21" s="174" t="s">
        <v>9</v>
      </c>
      <c r="K21" s="174" t="s">
        <v>10</v>
      </c>
      <c r="L21" s="174" t="s">
        <v>11</v>
      </c>
      <c r="M21" s="174" t="s">
        <v>12</v>
      </c>
      <c r="N21" s="174" t="s">
        <v>13</v>
      </c>
      <c r="O21" s="175" t="s">
        <v>14</v>
      </c>
      <c r="P21" s="34"/>
      <c r="Q21" s="34"/>
      <c r="R21" s="34"/>
      <c r="S21" s="34"/>
    </row>
    <row r="22" spans="1:19" x14ac:dyDescent="0.2">
      <c r="A22" s="176" t="s">
        <v>15</v>
      </c>
      <c r="B22" s="177" t="s">
        <v>25</v>
      </c>
      <c r="C22" s="892">
        <f>162649172/12</f>
        <v>13554097.666666666</v>
      </c>
      <c r="D22" s="892">
        <f t="shared" ref="D22:M22" si="2">162649172/12</f>
        <v>13554097.666666666</v>
      </c>
      <c r="E22" s="892">
        <f t="shared" si="2"/>
        <v>13554097.666666666</v>
      </c>
      <c r="F22" s="892">
        <f t="shared" si="2"/>
        <v>13554097.666666666</v>
      </c>
      <c r="G22" s="892">
        <f t="shared" si="2"/>
        <v>13554097.666666666</v>
      </c>
      <c r="H22" s="892">
        <f t="shared" si="2"/>
        <v>13554097.666666666</v>
      </c>
      <c r="I22" s="892">
        <f>162649172/12+835660</f>
        <v>14389757.666666666</v>
      </c>
      <c r="J22" s="892">
        <f>162649172/12+570500</f>
        <v>14124597.666666666</v>
      </c>
      <c r="K22" s="892">
        <f t="shared" si="2"/>
        <v>13554097.666666666</v>
      </c>
      <c r="L22" s="892">
        <f>162649172/12+775100</f>
        <v>14329197.666666666</v>
      </c>
      <c r="M22" s="892">
        <f t="shared" si="2"/>
        <v>13554097.666666666</v>
      </c>
      <c r="N22" s="892">
        <f>162649172/12+1170000+91250</f>
        <v>14815347.666666666</v>
      </c>
      <c r="O22" s="178">
        <f>'2 mérleg'!E45</f>
        <v>166091682</v>
      </c>
      <c r="P22" s="34"/>
      <c r="Q22" s="34"/>
      <c r="R22" s="34"/>
      <c r="S22" s="34"/>
    </row>
    <row r="23" spans="1:19" ht="25.5" x14ac:dyDescent="0.2">
      <c r="A23" s="179" t="s">
        <v>16</v>
      </c>
      <c r="B23" s="121" t="s">
        <v>72</v>
      </c>
      <c r="C23" s="893">
        <f>33714139/12</f>
        <v>2809511.5833333335</v>
      </c>
      <c r="D23" s="893">
        <f t="shared" ref="D23:M23" si="3">33714139/12</f>
        <v>2809511.5833333335</v>
      </c>
      <c r="E23" s="893">
        <f t="shared" si="3"/>
        <v>2809511.5833333335</v>
      </c>
      <c r="F23" s="893">
        <f t="shared" si="3"/>
        <v>2809511.5833333335</v>
      </c>
      <c r="G23" s="893">
        <f t="shared" si="3"/>
        <v>2809511.5833333335</v>
      </c>
      <c r="H23" s="893">
        <f t="shared" si="3"/>
        <v>2809511.5833333335</v>
      </c>
      <c r="I23" s="893">
        <f>33714139/12+167132+60903</f>
        <v>3037546.5833333335</v>
      </c>
      <c r="J23" s="893">
        <f>33714139/12+60903</f>
        <v>2870414.5833333335</v>
      </c>
      <c r="K23" s="893">
        <f t="shared" si="3"/>
        <v>2809511.5833333335</v>
      </c>
      <c r="L23" s="893">
        <f>33714139/12+141515</f>
        <v>2951026.5833333335</v>
      </c>
      <c r="M23" s="893">
        <f t="shared" si="3"/>
        <v>2809511.5833333335</v>
      </c>
      <c r="N23" s="893">
        <f>33714139/12+234000+110751-221502</f>
        <v>2932760.5833333335</v>
      </c>
      <c r="O23" s="180">
        <f>'2 mérleg'!E46</f>
        <v>34267840.720000006</v>
      </c>
      <c r="P23" s="34"/>
      <c r="Q23" s="34"/>
      <c r="R23" s="34"/>
      <c r="S23" s="34"/>
    </row>
    <row r="24" spans="1:19" x14ac:dyDescent="0.2">
      <c r="A24" s="179" t="s">
        <v>17</v>
      </c>
      <c r="B24" s="181" t="s">
        <v>26</v>
      </c>
      <c r="C24" s="893">
        <f>10222607</f>
        <v>10222607</v>
      </c>
      <c r="D24" s="893">
        <f t="shared" ref="D24:J24" si="4">10222607</f>
        <v>10222607</v>
      </c>
      <c r="E24" s="893">
        <f t="shared" si="4"/>
        <v>10222607</v>
      </c>
      <c r="F24" s="893">
        <f t="shared" si="4"/>
        <v>10222607</v>
      </c>
      <c r="G24" s="893">
        <f t="shared" si="4"/>
        <v>10222607</v>
      </c>
      <c r="H24" s="893">
        <f t="shared" si="4"/>
        <v>10222607</v>
      </c>
      <c r="I24" s="893">
        <f t="shared" si="4"/>
        <v>10222607</v>
      </c>
      <c r="J24" s="893">
        <f t="shared" si="4"/>
        <v>10222607</v>
      </c>
      <c r="K24" s="893">
        <f>10222607+134188</f>
        <v>10356795</v>
      </c>
      <c r="L24" s="893">
        <f t="shared" ref="L24" si="5">10222607+159710</f>
        <v>10382317</v>
      </c>
      <c r="M24" s="893">
        <f>10222607</f>
        <v>10222607</v>
      </c>
      <c r="N24" s="893">
        <f>10222607+971722+50-10000+7325086-87559</f>
        <v>18421906</v>
      </c>
      <c r="O24" s="180">
        <f>'2 mérleg'!E47</f>
        <v>131164481</v>
      </c>
      <c r="P24" s="34"/>
      <c r="Q24" s="34"/>
      <c r="R24" s="34"/>
      <c r="S24" s="34"/>
    </row>
    <row r="25" spans="1:19" ht="13.5" thickBot="1" x14ac:dyDescent="0.25">
      <c r="A25" s="182" t="s">
        <v>18</v>
      </c>
      <c r="B25" s="183" t="s">
        <v>60</v>
      </c>
      <c r="C25" s="892">
        <v>300000</v>
      </c>
      <c r="D25" s="892">
        <f>900000/9</f>
        <v>100000</v>
      </c>
      <c r="E25" s="892">
        <f t="shared" ref="E25:I25" si="6">900000/9</f>
        <v>100000</v>
      </c>
      <c r="F25" s="892">
        <f t="shared" si="6"/>
        <v>100000</v>
      </c>
      <c r="G25" s="892">
        <f t="shared" si="6"/>
        <v>100000</v>
      </c>
      <c r="H25" s="892">
        <f>900000/9+5000</f>
        <v>105000</v>
      </c>
      <c r="I25" s="894">
        <f t="shared" si="6"/>
        <v>100000</v>
      </c>
      <c r="J25" s="894">
        <f>1516000/2+300000</f>
        <v>1058000</v>
      </c>
      <c r="K25" s="892">
        <v>100000</v>
      </c>
      <c r="L25" s="892">
        <v>100000</v>
      </c>
      <c r="M25" s="892">
        <v>758000</v>
      </c>
      <c r="N25" s="892">
        <f>200000</f>
        <v>200000</v>
      </c>
      <c r="O25" s="178">
        <f>'2 mérleg'!C48</f>
        <v>3121000</v>
      </c>
      <c r="P25" s="34"/>
      <c r="Q25" s="34"/>
      <c r="R25" s="34"/>
      <c r="S25" s="34"/>
    </row>
    <row r="26" spans="1:19" ht="13.5" customHeight="1" thickBot="1" x14ac:dyDescent="0.25">
      <c r="A26" s="182" t="s">
        <v>19</v>
      </c>
      <c r="B26" s="122" t="s">
        <v>384</v>
      </c>
      <c r="C26" s="892">
        <f>20555358/12</f>
        <v>1712946.5</v>
      </c>
      <c r="D26" s="892">
        <f t="shared" ref="D26:L26" si="7">20555358/12</f>
        <v>1712946.5</v>
      </c>
      <c r="E26" s="893">
        <f t="shared" si="7"/>
        <v>1712946.5</v>
      </c>
      <c r="F26" s="892">
        <f t="shared" si="7"/>
        <v>1712946.5</v>
      </c>
      <c r="G26" s="892">
        <f t="shared" si="7"/>
        <v>1712946.5</v>
      </c>
      <c r="H26" s="895">
        <f t="shared" si="7"/>
        <v>1712946.5</v>
      </c>
      <c r="I26" s="896">
        <f>20555358/12+71057</f>
        <v>1784003.5</v>
      </c>
      <c r="J26" s="896">
        <f>20555358/12+75000000</f>
        <v>76712946.5</v>
      </c>
      <c r="K26" s="897">
        <f t="shared" si="7"/>
        <v>1712946.5</v>
      </c>
      <c r="L26" s="892">
        <f t="shared" si="7"/>
        <v>1712946.5</v>
      </c>
      <c r="M26" s="892">
        <f>20555358/12+12</f>
        <v>1712958.5</v>
      </c>
      <c r="N26" s="892">
        <f>20555358/12+2000000+780000</f>
        <v>4492946.5</v>
      </c>
      <c r="O26" s="178">
        <f>'2 mérleg'!C49</f>
        <v>98406427</v>
      </c>
      <c r="P26" s="34"/>
      <c r="Q26" s="34"/>
      <c r="R26" s="34"/>
      <c r="S26" s="34"/>
    </row>
    <row r="27" spans="1:19" ht="14.25" customHeight="1" x14ac:dyDescent="0.2">
      <c r="A27" s="182" t="s">
        <v>20</v>
      </c>
      <c r="B27" s="123" t="s">
        <v>36</v>
      </c>
      <c r="C27" s="892"/>
      <c r="D27" s="892"/>
      <c r="E27" s="898">
        <v>4800000</v>
      </c>
      <c r="F27" s="899"/>
      <c r="G27" s="900">
        <f>974763</f>
        <v>974763</v>
      </c>
      <c r="H27" s="901"/>
      <c r="I27" s="902"/>
      <c r="J27" s="899"/>
      <c r="K27" s="898"/>
      <c r="L27" s="898">
        <f>71755290+129462262+75778920-10120407</f>
        <v>266876065</v>
      </c>
      <c r="M27" s="899"/>
      <c r="N27" s="903">
        <v>29290591</v>
      </c>
      <c r="O27" s="178">
        <f>'2 mérleg'!D52</f>
        <v>301941418.5</v>
      </c>
      <c r="P27" s="34"/>
      <c r="Q27" s="34"/>
      <c r="R27" s="34"/>
      <c r="S27" s="34"/>
    </row>
    <row r="28" spans="1:19" x14ac:dyDescent="0.2">
      <c r="A28" s="182" t="s">
        <v>21</v>
      </c>
      <c r="B28" s="184" t="s">
        <v>37</v>
      </c>
      <c r="C28" s="904"/>
      <c r="D28" s="893"/>
      <c r="E28" s="893"/>
      <c r="F28" s="893"/>
      <c r="G28" s="893"/>
      <c r="H28" s="893"/>
      <c r="I28" s="893">
        <v>8472224</v>
      </c>
      <c r="J28" s="893"/>
      <c r="K28" s="893"/>
      <c r="L28" s="893">
        <v>17647059</v>
      </c>
      <c r="M28" s="893"/>
      <c r="N28" s="893">
        <f>37226500-3352941</f>
        <v>33873559</v>
      </c>
      <c r="O28" s="180">
        <f>'2 mérleg'!D53</f>
        <v>59992842</v>
      </c>
      <c r="P28" s="34"/>
      <c r="Q28" s="34"/>
      <c r="R28" s="34"/>
      <c r="S28" s="34"/>
    </row>
    <row r="29" spans="1:19" x14ac:dyDescent="0.2">
      <c r="A29" s="182" t="s">
        <v>22</v>
      </c>
      <c r="B29" s="124" t="s">
        <v>41</v>
      </c>
      <c r="C29" s="904"/>
      <c r="D29" s="893"/>
      <c r="E29" s="893"/>
      <c r="F29" s="893"/>
      <c r="G29" s="893"/>
      <c r="H29" s="893"/>
      <c r="I29" s="893"/>
      <c r="J29" s="893"/>
      <c r="K29" s="893"/>
      <c r="L29" s="893"/>
      <c r="M29" s="893"/>
      <c r="N29" s="893"/>
      <c r="O29" s="180">
        <f>'2 mérleg'!D54</f>
        <v>0</v>
      </c>
      <c r="P29" s="34"/>
      <c r="Q29" s="34"/>
      <c r="R29" s="34"/>
      <c r="S29" s="34"/>
    </row>
    <row r="30" spans="1:19" ht="14.25" customHeight="1" thickBot="1" x14ac:dyDescent="0.25">
      <c r="A30" s="185" t="s">
        <v>23</v>
      </c>
      <c r="B30" s="186" t="s">
        <v>62</v>
      </c>
      <c r="C30" s="893"/>
      <c r="D30" s="893"/>
      <c r="E30" s="893">
        <f>150000000/10</f>
        <v>15000000</v>
      </c>
      <c r="F30" s="893">
        <f t="shared" ref="F30:M30" si="8">150000000/10</f>
        <v>15000000</v>
      </c>
      <c r="G30" s="893">
        <f>150000000/10+7259435</f>
        <v>22259435</v>
      </c>
      <c r="H30" s="893">
        <f t="shared" si="8"/>
        <v>15000000</v>
      </c>
      <c r="I30" s="893">
        <f t="shared" si="8"/>
        <v>15000000</v>
      </c>
      <c r="J30" s="893">
        <f t="shared" si="8"/>
        <v>15000000</v>
      </c>
      <c r="K30" s="893">
        <f t="shared" si="8"/>
        <v>15000000</v>
      </c>
      <c r="L30" s="893">
        <f t="shared" si="8"/>
        <v>15000000</v>
      </c>
      <c r="M30" s="893">
        <f t="shared" si="8"/>
        <v>15000000</v>
      </c>
      <c r="N30" s="893">
        <f>150000000/10</f>
        <v>15000000</v>
      </c>
      <c r="O30" s="187">
        <f>'2 mérleg'!E58</f>
        <v>157259435</v>
      </c>
      <c r="P30" s="34"/>
      <c r="Q30" s="34"/>
      <c r="R30" s="34"/>
      <c r="S30" s="34"/>
    </row>
    <row r="31" spans="1:19" ht="14.25" thickTop="1" thickBot="1" x14ac:dyDescent="0.25">
      <c r="A31" s="927" t="s">
        <v>14</v>
      </c>
      <c r="B31" s="928"/>
      <c r="C31" s="188">
        <f>SUM(C22:C30)</f>
        <v>28599162.75</v>
      </c>
      <c r="D31" s="188">
        <f t="shared" ref="D31:N31" si="9">SUM(D22:D30)</f>
        <v>28399162.75</v>
      </c>
      <c r="E31" s="188">
        <f t="shared" si="9"/>
        <v>48199162.75</v>
      </c>
      <c r="F31" s="188">
        <f t="shared" si="9"/>
        <v>43399162.75</v>
      </c>
      <c r="G31" s="188">
        <f t="shared" si="9"/>
        <v>51633360.75</v>
      </c>
      <c r="H31" s="188">
        <f t="shared" si="9"/>
        <v>43404162.75</v>
      </c>
      <c r="I31" s="188">
        <f t="shared" si="9"/>
        <v>53006138.75</v>
      </c>
      <c r="J31" s="188">
        <f t="shared" si="9"/>
        <v>119988565.75</v>
      </c>
      <c r="K31" s="188">
        <f t="shared" si="9"/>
        <v>43533350.75</v>
      </c>
      <c r="L31" s="188">
        <f t="shared" si="9"/>
        <v>328998611.75</v>
      </c>
      <c r="M31" s="188">
        <f t="shared" si="9"/>
        <v>44057174.75</v>
      </c>
      <c r="N31" s="188">
        <f t="shared" si="9"/>
        <v>119027110.75</v>
      </c>
      <c r="O31" s="189">
        <f>O22+O23+O24+O25+O26+O27+O28+O30+1</f>
        <v>952245127.22000003</v>
      </c>
      <c r="P31" s="34"/>
      <c r="Q31" s="34"/>
      <c r="R31" s="34"/>
      <c r="S31" s="34"/>
    </row>
    <row r="32" spans="1:19" ht="7.5" customHeight="1" x14ac:dyDescent="0.2">
      <c r="A32" s="81"/>
      <c r="P32" s="34"/>
      <c r="Q32" s="34"/>
      <c r="R32" s="34"/>
      <c r="S32" s="34"/>
    </row>
    <row r="33" spans="3:19" x14ac:dyDescent="0.2">
      <c r="O33" s="85"/>
      <c r="P33" s="34"/>
      <c r="S33" s="34"/>
    </row>
    <row r="34" spans="3:19" x14ac:dyDescent="0.2"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34"/>
      <c r="S34" s="34"/>
    </row>
    <row r="35" spans="3:19" x14ac:dyDescent="0.2"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P35" s="34"/>
      <c r="Q35" s="34"/>
    </row>
    <row r="36" spans="3:19" x14ac:dyDescent="0.2"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P36" s="34"/>
    </row>
  </sheetData>
  <mergeCells count="5">
    <mergeCell ref="A31:B31"/>
    <mergeCell ref="L1:O1"/>
    <mergeCell ref="A5:O5"/>
    <mergeCell ref="A16:B16"/>
    <mergeCell ref="A20:O20"/>
  </mergeCells>
  <phoneticPr fontId="0" type="noConversion"/>
  <printOptions horizontalCentered="1" verticalCentered="1"/>
  <pageMargins left="0.74803149606299213" right="0.74803149606299213" top="0.78740157480314965" bottom="0.78740157480314965" header="0.51181102362204722" footer="0.51181102362204722"/>
  <pageSetup paperSize="9" scale="66" orientation="landscape" r:id="rId1"/>
  <headerFooter alignWithMargins="0"/>
  <rowBreaks count="1" manualBreakCount="1">
    <brk id="3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topLeftCell="A22" zoomScale="90" zoomScaleSheetLayoutView="90" workbookViewId="0">
      <selection activeCell="E32" sqref="E32"/>
    </sheetView>
  </sheetViews>
  <sheetFormatPr defaultRowHeight="12.75" x14ac:dyDescent="0.2"/>
  <cols>
    <col min="1" max="1" width="4.140625" style="39" customWidth="1"/>
    <col min="2" max="2" width="51.42578125" style="40" customWidth="1"/>
    <col min="3" max="3" width="11.42578125" style="75" customWidth="1"/>
    <col min="4" max="4" width="11.5703125" style="75" customWidth="1"/>
    <col min="5" max="5" width="11.7109375" style="76" customWidth="1"/>
    <col min="6" max="16384" width="9.140625" style="4"/>
  </cols>
  <sheetData>
    <row r="1" spans="1:6" ht="12.75" customHeight="1" x14ac:dyDescent="0.2">
      <c r="C1" s="944"/>
      <c r="D1" s="944"/>
      <c r="E1" s="944"/>
      <c r="F1" s="96"/>
    </row>
    <row r="6" spans="1:6" ht="13.5" thickBot="1" x14ac:dyDescent="0.25">
      <c r="C6" s="41"/>
      <c r="D6" s="41"/>
      <c r="E6" s="42"/>
    </row>
    <row r="7" spans="1:6" ht="5.25" customHeight="1" x14ac:dyDescent="0.2">
      <c r="A7" s="43"/>
      <c r="B7" s="44"/>
      <c r="C7" s="45"/>
      <c r="D7" s="45"/>
      <c r="E7" s="46"/>
    </row>
    <row r="8" spans="1:6" s="5" customFormat="1" x14ac:dyDescent="0.2">
      <c r="A8" s="945" t="s">
        <v>27</v>
      </c>
      <c r="B8" s="946"/>
      <c r="C8" s="47" t="s">
        <v>28</v>
      </c>
      <c r="D8" s="47" t="s">
        <v>29</v>
      </c>
      <c r="E8" s="947" t="s">
        <v>30</v>
      </c>
    </row>
    <row r="9" spans="1:6" s="5" customFormat="1" x14ac:dyDescent="0.2">
      <c r="A9" s="945"/>
      <c r="B9" s="946"/>
      <c r="C9" s="47" t="s">
        <v>31</v>
      </c>
      <c r="D9" s="47" t="s">
        <v>31</v>
      </c>
      <c r="E9" s="947"/>
    </row>
    <row r="10" spans="1:6" ht="4.5" customHeight="1" thickBot="1" x14ac:dyDescent="0.25">
      <c r="A10" s="48"/>
      <c r="B10" s="49"/>
      <c r="C10" s="50"/>
      <c r="D10" s="50"/>
      <c r="E10" s="51"/>
    </row>
    <row r="11" spans="1:6" ht="13.5" customHeight="1" thickBot="1" x14ac:dyDescent="0.2">
      <c r="A11" s="948" t="s">
        <v>32</v>
      </c>
      <c r="B11" s="949"/>
      <c r="C11" s="949"/>
      <c r="D11" s="949"/>
      <c r="E11" s="950"/>
    </row>
    <row r="12" spans="1:6" s="6" customFormat="1" ht="25.5" customHeight="1" x14ac:dyDescent="0.2">
      <c r="A12" s="126" t="s">
        <v>33</v>
      </c>
      <c r="B12" s="52" t="s">
        <v>204</v>
      </c>
      <c r="C12" s="127"/>
      <c r="D12" s="127"/>
      <c r="E12" s="128"/>
    </row>
    <row r="13" spans="1:6" s="6" customFormat="1" ht="12.75" customHeight="1" x14ac:dyDescent="0.2">
      <c r="A13" s="54" t="s">
        <v>15</v>
      </c>
      <c r="B13" s="55" t="s">
        <v>156</v>
      </c>
      <c r="C13" s="193">
        <f>'3 bevételek'!H8</f>
        <v>1806255</v>
      </c>
      <c r="D13" s="193">
        <f>'3 bevételek'!G21</f>
        <v>0</v>
      </c>
      <c r="E13" s="157">
        <f>C13+D13</f>
        <v>1806255</v>
      </c>
    </row>
    <row r="14" spans="1:6" s="6" customFormat="1" ht="13.5" customHeight="1" x14ac:dyDescent="0.2">
      <c r="A14" s="54" t="s">
        <v>16</v>
      </c>
      <c r="B14" s="57" t="s">
        <v>157</v>
      </c>
      <c r="C14" s="193"/>
      <c r="D14" s="193">
        <v>0</v>
      </c>
      <c r="E14" s="157">
        <f t="shared" ref="E14:E19" si="0">C14+D14</f>
        <v>0</v>
      </c>
    </row>
    <row r="15" spans="1:6" s="6" customFormat="1" ht="13.5" customHeight="1" x14ac:dyDescent="0.2">
      <c r="A15" s="54" t="s">
        <v>17</v>
      </c>
      <c r="B15" s="55" t="s">
        <v>68</v>
      </c>
      <c r="C15" s="193">
        <v>0</v>
      </c>
      <c r="D15" s="193">
        <v>0</v>
      </c>
      <c r="E15" s="157">
        <f t="shared" si="0"/>
        <v>0</v>
      </c>
    </row>
    <row r="16" spans="1:6" s="6" customFormat="1" ht="12" customHeight="1" x14ac:dyDescent="0.2">
      <c r="A16" s="54" t="s">
        <v>18</v>
      </c>
      <c r="B16" s="58" t="s">
        <v>158</v>
      </c>
      <c r="C16" s="193">
        <f>'3 bevételek'!F21</f>
        <v>12224792</v>
      </c>
      <c r="D16" s="193">
        <f>'3 bevételek'!G21</f>
        <v>0</v>
      </c>
      <c r="E16" s="157">
        <f t="shared" si="0"/>
        <v>12224792</v>
      </c>
    </row>
    <row r="17" spans="1:8" s="6" customFormat="1" ht="12.75" customHeight="1" x14ac:dyDescent="0.2">
      <c r="A17" s="54" t="s">
        <v>19</v>
      </c>
      <c r="B17" s="58" t="s">
        <v>159</v>
      </c>
      <c r="C17" s="193">
        <f>'3 bevételek'!F120</f>
        <v>0</v>
      </c>
      <c r="D17" s="193">
        <f>'3 bevételek'!G120</f>
        <v>0</v>
      </c>
      <c r="E17" s="157">
        <f t="shared" si="0"/>
        <v>0</v>
      </c>
    </row>
    <row r="18" spans="1:8" s="6" customFormat="1" ht="12" customHeight="1" x14ac:dyDescent="0.2">
      <c r="A18" s="54" t="s">
        <v>20</v>
      </c>
      <c r="B18" s="58" t="s">
        <v>155</v>
      </c>
      <c r="C18" s="193">
        <v>0</v>
      </c>
      <c r="D18" s="193"/>
      <c r="E18" s="157">
        <f t="shared" si="0"/>
        <v>0</v>
      </c>
    </row>
    <row r="19" spans="1:8" s="6" customFormat="1" ht="12" customHeight="1" x14ac:dyDescent="0.2">
      <c r="A19" s="54" t="s">
        <v>21</v>
      </c>
      <c r="B19" s="58" t="s">
        <v>154</v>
      </c>
      <c r="C19" s="193">
        <v>0</v>
      </c>
      <c r="D19" s="193">
        <v>0</v>
      </c>
      <c r="E19" s="157">
        <f t="shared" si="0"/>
        <v>0</v>
      </c>
    </row>
    <row r="20" spans="1:8" s="6" customFormat="1" ht="12" customHeight="1" x14ac:dyDescent="0.2">
      <c r="A20" s="54"/>
      <c r="B20" s="195" t="s">
        <v>276</v>
      </c>
      <c r="C20" s="193">
        <f>SUM(C13:C19)</f>
        <v>14031047</v>
      </c>
      <c r="D20" s="193">
        <f>SUM(D13:D19)</f>
        <v>0</v>
      </c>
      <c r="E20" s="157">
        <f>C20+D20</f>
        <v>14031047</v>
      </c>
    </row>
    <row r="21" spans="1:8" s="6" customFormat="1" ht="27.75" customHeight="1" x14ac:dyDescent="0.2">
      <c r="A21" s="126" t="s">
        <v>34</v>
      </c>
      <c r="B21" s="53" t="s">
        <v>269</v>
      </c>
      <c r="C21" s="129"/>
      <c r="D21" s="129"/>
      <c r="E21" s="130"/>
    </row>
    <row r="22" spans="1:8" s="7" customFormat="1" ht="12" customHeight="1" x14ac:dyDescent="0.2">
      <c r="A22" s="54" t="s">
        <v>15</v>
      </c>
      <c r="B22" s="55" t="s">
        <v>156</v>
      </c>
      <c r="C22" s="131">
        <f>'3 bevételek'!F154</f>
        <v>269019204</v>
      </c>
      <c r="D22" s="56"/>
      <c r="E22" s="132">
        <f>SUM(C22:D22)</f>
        <v>269019204</v>
      </c>
    </row>
    <row r="23" spans="1:8" s="7" customFormat="1" ht="12" customHeight="1" x14ac:dyDescent="0.2">
      <c r="A23" s="54" t="s">
        <v>16</v>
      </c>
      <c r="B23" s="57" t="s">
        <v>157</v>
      </c>
      <c r="C23" s="56"/>
      <c r="D23" s="131">
        <f>'3 bevételek'!G199</f>
        <v>152274213</v>
      </c>
      <c r="E23" s="132">
        <f>D23+C23</f>
        <v>152274213</v>
      </c>
      <c r="F23" s="32"/>
    </row>
    <row r="24" spans="1:8" s="7" customFormat="1" ht="12" customHeight="1" x14ac:dyDescent="0.2">
      <c r="A24" s="54" t="s">
        <v>17</v>
      </c>
      <c r="B24" s="55" t="s">
        <v>68</v>
      </c>
      <c r="C24" s="131">
        <f>'3 bevételek'!F206</f>
        <v>20876962</v>
      </c>
      <c r="D24" s="131">
        <f>'3 bevételek'!G206</f>
        <v>20523038</v>
      </c>
      <c r="E24" s="132">
        <f>D24+C24</f>
        <v>41400000</v>
      </c>
    </row>
    <row r="25" spans="1:8" s="7" customFormat="1" ht="12" customHeight="1" x14ac:dyDescent="0.2">
      <c r="A25" s="54" t="s">
        <v>18</v>
      </c>
      <c r="B25" s="58" t="s">
        <v>158</v>
      </c>
      <c r="C25" s="133">
        <f>'3 bevételek'!F218</f>
        <v>21415000</v>
      </c>
      <c r="D25" s="59"/>
      <c r="E25" s="132">
        <f t="shared" ref="E25:E28" si="1">SUM(C25:D25)</f>
        <v>21415000</v>
      </c>
      <c r="F25" s="32"/>
    </row>
    <row r="26" spans="1:8" s="7" customFormat="1" ht="12" customHeight="1" x14ac:dyDescent="0.2">
      <c r="A26" s="54" t="s">
        <v>19</v>
      </c>
      <c r="B26" s="58" t="s">
        <v>159</v>
      </c>
      <c r="C26" s="59"/>
      <c r="D26" s="133">
        <f>'3 bevételek'!G238</f>
        <v>3187454</v>
      </c>
      <c r="E26" s="132">
        <f t="shared" si="1"/>
        <v>3187454</v>
      </c>
    </row>
    <row r="27" spans="1:8" s="7" customFormat="1" ht="12" customHeight="1" x14ac:dyDescent="0.2">
      <c r="A27" s="54" t="s">
        <v>20</v>
      </c>
      <c r="B27" s="58" t="s">
        <v>155</v>
      </c>
      <c r="C27" s="133">
        <f>'3 bevételek'!F241</f>
        <v>0</v>
      </c>
      <c r="D27" s="59"/>
      <c r="E27" s="132">
        <f t="shared" si="1"/>
        <v>0</v>
      </c>
    </row>
    <row r="28" spans="1:8" s="7" customFormat="1" ht="12" customHeight="1" thickBot="1" x14ac:dyDescent="0.25">
      <c r="A28" s="54" t="s">
        <v>21</v>
      </c>
      <c r="B28" s="58" t="s">
        <v>154</v>
      </c>
      <c r="C28" s="59"/>
      <c r="D28" s="133">
        <f>'3 bevételek'!G242</f>
        <v>0</v>
      </c>
      <c r="E28" s="132">
        <f t="shared" si="1"/>
        <v>0</v>
      </c>
    </row>
    <row r="29" spans="1:8" s="8" customFormat="1" ht="14.25" customHeight="1" thickTop="1" thickBot="1" x14ac:dyDescent="0.25">
      <c r="A29" s="938" t="s">
        <v>275</v>
      </c>
      <c r="B29" s="939"/>
      <c r="C29" s="134">
        <f>C22+C24+C25+C27</f>
        <v>311311166</v>
      </c>
      <c r="D29" s="134">
        <f>D23+D24+D26+D28</f>
        <v>175984705</v>
      </c>
      <c r="E29" s="135">
        <f>SUM(C29:D29)</f>
        <v>487295871</v>
      </c>
      <c r="G29" s="99"/>
    </row>
    <row r="30" spans="1:8" s="9" customFormat="1" ht="15" customHeight="1" thickTop="1" thickBot="1" x14ac:dyDescent="0.25">
      <c r="A30" s="940" t="s">
        <v>203</v>
      </c>
      <c r="B30" s="941"/>
      <c r="C30" s="136">
        <f>C20+C29</f>
        <v>325342213</v>
      </c>
      <c r="D30" s="136">
        <f>SUM(D12)+D29+D20</f>
        <v>175984705</v>
      </c>
      <c r="E30" s="137">
        <f>C30+D30</f>
        <v>501326918</v>
      </c>
      <c r="G30" s="31"/>
    </row>
    <row r="31" spans="1:8" s="9" customFormat="1" ht="30.75" customHeight="1" thickTop="1" thickBot="1" x14ac:dyDescent="0.25">
      <c r="A31" s="942" t="s">
        <v>206</v>
      </c>
      <c r="B31" s="943"/>
      <c r="C31" s="136">
        <f>C30-C50</f>
        <v>-107709217.72000003</v>
      </c>
      <c r="D31" s="136">
        <f>D30-D55</f>
        <v>-185949555.5</v>
      </c>
      <c r="E31" s="138">
        <f>E30-E56</f>
        <v>-293658774.22000003</v>
      </c>
      <c r="G31" s="31"/>
      <c r="H31" s="31"/>
    </row>
    <row r="32" spans="1:8" s="9" customFormat="1" ht="21" customHeight="1" thickTop="1" thickBot="1" x14ac:dyDescent="0.25">
      <c r="A32" s="194" t="s">
        <v>38</v>
      </c>
      <c r="B32" s="53" t="s">
        <v>271</v>
      </c>
      <c r="C32" s="139">
        <f>C33+C35</f>
        <v>171807920</v>
      </c>
      <c r="D32" s="139">
        <f>D33+D35</f>
        <v>279110289</v>
      </c>
      <c r="E32" s="258">
        <f>C32+D32</f>
        <v>450918209</v>
      </c>
      <c r="G32" s="31"/>
      <c r="H32" s="31"/>
    </row>
    <row r="33" spans="1:9" s="9" customFormat="1" ht="27" customHeight="1" thickTop="1" thickBot="1" x14ac:dyDescent="0.25">
      <c r="A33" s="194"/>
      <c r="B33" s="214" t="s">
        <v>204</v>
      </c>
      <c r="C33" s="139">
        <f>C34</f>
        <v>140906</v>
      </c>
      <c r="D33" s="139">
        <f>D34</f>
        <v>0</v>
      </c>
      <c r="E33" s="258">
        <f>C33+D33</f>
        <v>140906</v>
      </c>
      <c r="G33" s="31"/>
      <c r="H33" s="31"/>
    </row>
    <row r="34" spans="1:9" s="9" customFormat="1" ht="24.75" customHeight="1" thickTop="1" thickBot="1" x14ac:dyDescent="0.25">
      <c r="A34" s="216"/>
      <c r="B34" s="215" t="s">
        <v>228</v>
      </c>
      <c r="C34" s="139">
        <f>'3 bevételek'!F135</f>
        <v>140906</v>
      </c>
      <c r="D34" s="139">
        <f>'3 bevételek'!G135</f>
        <v>0</v>
      </c>
      <c r="E34" s="258">
        <f>C34+D34</f>
        <v>140906</v>
      </c>
      <c r="G34" s="31"/>
      <c r="H34" s="31"/>
    </row>
    <row r="35" spans="1:9" s="9" customFormat="1" ht="18.75" customHeight="1" thickTop="1" x14ac:dyDescent="0.2">
      <c r="A35" s="60"/>
      <c r="B35" s="61" t="s">
        <v>270</v>
      </c>
      <c r="C35" s="139">
        <f>SUM(C36:C38)</f>
        <v>171667014</v>
      </c>
      <c r="D35" s="139">
        <f t="shared" ref="D35:E35" si="2">SUM(D36:D38)</f>
        <v>279110289</v>
      </c>
      <c r="E35" s="258">
        <f>SUM(E36:E38)</f>
        <v>450777303</v>
      </c>
      <c r="G35" s="31"/>
    </row>
    <row r="36" spans="1:9" s="9" customFormat="1" ht="38.25" customHeight="1" x14ac:dyDescent="0.2">
      <c r="A36" s="62" t="s">
        <v>15</v>
      </c>
      <c r="B36" s="63" t="s">
        <v>228</v>
      </c>
      <c r="C36" s="140">
        <f>'3 bevételek'!F244</f>
        <v>14407579</v>
      </c>
      <c r="D36" s="140">
        <f>'3 bevételek'!G244</f>
        <v>279110289</v>
      </c>
      <c r="E36" s="245">
        <f>C36+D36</f>
        <v>293517868</v>
      </c>
      <c r="G36" s="31"/>
      <c r="H36" s="31"/>
      <c r="I36" s="31"/>
    </row>
    <row r="37" spans="1:9" s="10" customFormat="1" ht="11.25" customHeight="1" x14ac:dyDescent="0.2">
      <c r="A37" s="120">
        <v>2</v>
      </c>
      <c r="B37" s="116" t="s">
        <v>235</v>
      </c>
      <c r="C37" s="117">
        <f>'3 bevételek'!F247</f>
        <v>150000000</v>
      </c>
      <c r="D37" s="117">
        <v>0</v>
      </c>
      <c r="E37" s="217">
        <f>C37+D37</f>
        <v>150000000</v>
      </c>
      <c r="F37" s="249"/>
      <c r="G37" s="249"/>
      <c r="H37" s="250"/>
    </row>
    <row r="38" spans="1:9" s="10" customFormat="1" ht="12.75" customHeight="1" thickBot="1" x14ac:dyDescent="0.25">
      <c r="A38" s="120">
        <v>3</v>
      </c>
      <c r="B38" s="119" t="s">
        <v>237</v>
      </c>
      <c r="C38" s="117">
        <f>'3 bevételek'!F248</f>
        <v>7259435</v>
      </c>
      <c r="D38" s="118"/>
      <c r="E38" s="217">
        <f>C38</f>
        <v>7259435</v>
      </c>
      <c r="F38" s="249"/>
      <c r="G38" s="249"/>
      <c r="H38" s="250"/>
    </row>
    <row r="39" spans="1:9" s="33" customFormat="1" ht="24.75" customHeight="1" thickTop="1" thickBot="1" x14ac:dyDescent="0.25">
      <c r="A39" s="953" t="s">
        <v>97</v>
      </c>
      <c r="B39" s="954"/>
      <c r="C39" s="136">
        <f>C30+C32</f>
        <v>497150133</v>
      </c>
      <c r="D39" s="136">
        <f>D30+D35</f>
        <v>455094994</v>
      </c>
      <c r="E39" s="137">
        <f>C39+D39</f>
        <v>952245127</v>
      </c>
      <c r="G39" s="125"/>
    </row>
    <row r="40" spans="1:9" s="5" customFormat="1" ht="13.5" thickTop="1" x14ac:dyDescent="0.2">
      <c r="A40" s="945" t="s">
        <v>27</v>
      </c>
      <c r="B40" s="946"/>
      <c r="C40" s="47" t="s">
        <v>28</v>
      </c>
      <c r="D40" s="47" t="s">
        <v>29</v>
      </c>
      <c r="E40" s="947" t="s">
        <v>30</v>
      </c>
    </row>
    <row r="41" spans="1:9" s="5" customFormat="1" x14ac:dyDescent="0.2">
      <c r="A41" s="945"/>
      <c r="B41" s="946"/>
      <c r="C41" s="47" t="s">
        <v>31</v>
      </c>
      <c r="D41" s="47" t="s">
        <v>31</v>
      </c>
      <c r="E41" s="947"/>
    </row>
    <row r="42" spans="1:9" ht="4.5" customHeight="1" thickBot="1" x14ac:dyDescent="0.25">
      <c r="A42" s="48"/>
      <c r="B42" s="65"/>
      <c r="C42" s="141"/>
      <c r="D42" s="141"/>
      <c r="E42" s="142"/>
    </row>
    <row r="43" spans="1:9" ht="13.5" customHeight="1" thickBot="1" x14ac:dyDescent="0.2">
      <c r="A43" s="948" t="s">
        <v>35</v>
      </c>
      <c r="B43" s="949"/>
      <c r="C43" s="949"/>
      <c r="D43" s="949"/>
      <c r="E43" s="950"/>
    </row>
    <row r="44" spans="1:9" s="6" customFormat="1" ht="11.25" customHeight="1" x14ac:dyDescent="0.2">
      <c r="A44" s="126" t="s">
        <v>33</v>
      </c>
      <c r="B44" s="66" t="s">
        <v>73</v>
      </c>
      <c r="C44" s="143"/>
      <c r="D44" s="144"/>
      <c r="E44" s="145"/>
    </row>
    <row r="45" spans="1:9" s="7" customFormat="1" ht="13.5" customHeight="1" x14ac:dyDescent="0.2">
      <c r="A45" s="54" t="s">
        <v>15</v>
      </c>
      <c r="B45" s="55" t="s">
        <v>25</v>
      </c>
      <c r="C45" s="131">
        <f>'3 bevételek'!F260</f>
        <v>166091682</v>
      </c>
      <c r="D45" s="56"/>
      <c r="E45" s="132">
        <f>SUM(C45:D45)</f>
        <v>166091682</v>
      </c>
    </row>
    <row r="46" spans="1:9" s="7" customFormat="1" ht="13.5" customHeight="1" x14ac:dyDescent="0.2">
      <c r="A46" s="54" t="s">
        <v>16</v>
      </c>
      <c r="B46" s="58" t="s">
        <v>72</v>
      </c>
      <c r="C46" s="131">
        <f>'3 bevételek'!F261</f>
        <v>34267840.720000006</v>
      </c>
      <c r="D46" s="59"/>
      <c r="E46" s="132">
        <f>SUM(C46:D46)</f>
        <v>34267840.720000006</v>
      </c>
    </row>
    <row r="47" spans="1:9" s="7" customFormat="1" ht="13.5" customHeight="1" x14ac:dyDescent="0.2">
      <c r="A47" s="54" t="s">
        <v>17</v>
      </c>
      <c r="B47" s="58" t="s">
        <v>26</v>
      </c>
      <c r="C47" s="131">
        <f>'3 bevételek'!F262</f>
        <v>131164481</v>
      </c>
      <c r="D47" s="59"/>
      <c r="E47" s="132">
        <f>SUM(C47:D47)</f>
        <v>131164481</v>
      </c>
    </row>
    <row r="48" spans="1:9" s="7" customFormat="1" ht="13.5" customHeight="1" x14ac:dyDescent="0.2">
      <c r="A48" s="54" t="s">
        <v>18</v>
      </c>
      <c r="B48" s="36" t="s">
        <v>66</v>
      </c>
      <c r="C48" s="131">
        <f>'3 bevételek'!F263</f>
        <v>3121000</v>
      </c>
      <c r="D48" s="59"/>
      <c r="E48" s="132">
        <f>C48</f>
        <v>3121000</v>
      </c>
      <c r="G48" s="32"/>
    </row>
    <row r="49" spans="1:8" s="7" customFormat="1" ht="13.5" customHeight="1" thickBot="1" x14ac:dyDescent="0.25">
      <c r="A49" s="54" t="s">
        <v>20</v>
      </c>
      <c r="B49" s="37" t="s">
        <v>64</v>
      </c>
      <c r="C49" s="131">
        <f>'3 bevételek'!F264</f>
        <v>98406427</v>
      </c>
      <c r="D49" s="59"/>
      <c r="E49" s="132">
        <f>SUM(C49:D49)</f>
        <v>98406427</v>
      </c>
      <c r="F49" s="32"/>
      <c r="H49" s="32"/>
    </row>
    <row r="50" spans="1:8" s="8" customFormat="1" ht="14.25" customHeight="1" thickTop="1" thickBot="1" x14ac:dyDescent="0.25">
      <c r="A50" s="938" t="s">
        <v>74</v>
      </c>
      <c r="B50" s="939"/>
      <c r="C50" s="134">
        <f>SUM(C45:C49)</f>
        <v>433051430.72000003</v>
      </c>
      <c r="D50" s="94"/>
      <c r="E50" s="146">
        <f>SUM(C50:D50)</f>
        <v>433051430.72000003</v>
      </c>
    </row>
    <row r="51" spans="1:8" s="6" customFormat="1" ht="15" customHeight="1" thickTop="1" x14ac:dyDescent="0.2">
      <c r="A51" s="126" t="s">
        <v>34</v>
      </c>
      <c r="B51" s="66" t="s">
        <v>75</v>
      </c>
      <c r="C51" s="93"/>
      <c r="D51" s="67"/>
      <c r="E51" s="64"/>
    </row>
    <row r="52" spans="1:8" s="7" customFormat="1" ht="13.5" customHeight="1" x14ac:dyDescent="0.2">
      <c r="A52" s="54" t="s">
        <v>15</v>
      </c>
      <c r="B52" s="55" t="s">
        <v>36</v>
      </c>
      <c r="C52" s="56"/>
      <c r="D52" s="131">
        <f>'3 bevételek'!G267</f>
        <v>301941418.5</v>
      </c>
      <c r="E52" s="132">
        <f>SUM(C52:D52)</f>
        <v>301941418.5</v>
      </c>
    </row>
    <row r="53" spans="1:8" s="7" customFormat="1" ht="12" customHeight="1" x14ac:dyDescent="0.2">
      <c r="A53" s="54" t="s">
        <v>16</v>
      </c>
      <c r="B53" s="58" t="s">
        <v>37</v>
      </c>
      <c r="C53" s="59"/>
      <c r="D53" s="131">
        <f>'3 bevételek'!G268</f>
        <v>59992842</v>
      </c>
      <c r="E53" s="132">
        <f>SUM(C53:D53)</f>
        <v>59992842</v>
      </c>
    </row>
    <row r="54" spans="1:8" s="7" customFormat="1" ht="12" customHeight="1" thickBot="1" x14ac:dyDescent="0.25">
      <c r="A54" s="54" t="s">
        <v>17</v>
      </c>
      <c r="B54" s="58" t="s">
        <v>41</v>
      </c>
      <c r="C54" s="59"/>
      <c r="D54" s="131">
        <f>'3 bevételek'!G269</f>
        <v>0</v>
      </c>
      <c r="E54" s="132">
        <f>SUM(C54:D54)</f>
        <v>0</v>
      </c>
    </row>
    <row r="55" spans="1:8" s="8" customFormat="1" ht="12.75" customHeight="1" thickTop="1" thickBot="1" x14ac:dyDescent="0.25">
      <c r="A55" s="938" t="s">
        <v>76</v>
      </c>
      <c r="B55" s="939"/>
      <c r="C55" s="94"/>
      <c r="D55" s="134">
        <f>SUM(D52:D54)</f>
        <v>361934260.5</v>
      </c>
      <c r="E55" s="146">
        <f>SUM(C55:D55)</f>
        <v>361934260.5</v>
      </c>
      <c r="F55" s="99"/>
      <c r="G55" s="99"/>
      <c r="H55" s="99"/>
    </row>
    <row r="56" spans="1:8" s="8" customFormat="1" ht="12.75" customHeight="1" thickTop="1" thickBot="1" x14ac:dyDescent="0.25">
      <c r="A56" s="940" t="s">
        <v>205</v>
      </c>
      <c r="B56" s="941"/>
      <c r="C56" s="147">
        <f>C50</f>
        <v>433051430.72000003</v>
      </c>
      <c r="D56" s="147">
        <f>D55</f>
        <v>361934260.5</v>
      </c>
      <c r="E56" s="148">
        <f>'2 mérleg'!C56+'2 mérleg'!D56+1</f>
        <v>794985692.22000003</v>
      </c>
      <c r="F56" s="99"/>
      <c r="G56" s="99"/>
      <c r="H56" s="99"/>
    </row>
    <row r="57" spans="1:8" s="8" customFormat="1" ht="12.75" customHeight="1" thickTop="1" x14ac:dyDescent="0.2">
      <c r="A57" s="68" t="s">
        <v>38</v>
      </c>
      <c r="B57" s="69"/>
      <c r="C57" s="147"/>
      <c r="D57" s="147"/>
      <c r="E57" s="148"/>
    </row>
    <row r="58" spans="1:8" s="8" customFormat="1" ht="12.75" customHeight="1" x14ac:dyDescent="0.2">
      <c r="A58" s="70"/>
      <c r="B58" s="71" t="s">
        <v>62</v>
      </c>
      <c r="C58" s="149">
        <f>'3 bevételek'!F271</f>
        <v>157259435</v>
      </c>
      <c r="D58" s="149"/>
      <c r="E58" s="150">
        <f>D58+C58</f>
        <v>157259435</v>
      </c>
    </row>
    <row r="59" spans="1:8" s="8" customFormat="1" ht="6.75" customHeight="1" thickBot="1" x14ac:dyDescent="0.25">
      <c r="A59" s="72"/>
      <c r="B59" s="73"/>
      <c r="C59" s="151"/>
      <c r="D59" s="151"/>
      <c r="E59" s="152"/>
    </row>
    <row r="60" spans="1:8" s="9" customFormat="1" ht="15" customHeight="1" thickTop="1" thickBot="1" x14ac:dyDescent="0.25">
      <c r="A60" s="951" t="s">
        <v>150</v>
      </c>
      <c r="B60" s="952"/>
      <c r="C60" s="153">
        <f>SUM(C50,C55)+C58</f>
        <v>590310865.72000003</v>
      </c>
      <c r="D60" s="153">
        <f>SUM(D50,D55)+D58</f>
        <v>361934260.5</v>
      </c>
      <c r="E60" s="154">
        <f>E58+E56</f>
        <v>952245127.22000003</v>
      </c>
      <c r="F60" s="31"/>
      <c r="G60" s="31"/>
      <c r="H60" s="31"/>
    </row>
    <row r="61" spans="1:8" x14ac:dyDescent="0.2">
      <c r="C61" s="74"/>
      <c r="D61" s="74"/>
      <c r="E61" s="74"/>
      <c r="H61" s="100"/>
    </row>
    <row r="62" spans="1:8" x14ac:dyDescent="0.2">
      <c r="C62" s="95"/>
      <c r="D62" s="95"/>
      <c r="E62" s="95"/>
    </row>
    <row r="63" spans="1:8" x14ac:dyDescent="0.2">
      <c r="C63" s="74"/>
      <c r="D63" s="74"/>
      <c r="E63" s="74"/>
    </row>
    <row r="64" spans="1:8" x14ac:dyDescent="0.2">
      <c r="C64" s="74"/>
      <c r="D64" s="74"/>
      <c r="E64" s="74"/>
    </row>
    <row r="65" spans="3:6" x14ac:dyDescent="0.2">
      <c r="C65" s="74"/>
      <c r="D65" s="74"/>
      <c r="E65" s="74"/>
    </row>
    <row r="68" spans="3:6" x14ac:dyDescent="0.2">
      <c r="C68" s="95"/>
      <c r="D68" s="95"/>
      <c r="E68" s="95"/>
      <c r="F68" s="97"/>
    </row>
  </sheetData>
  <mergeCells count="15">
    <mergeCell ref="A60:B60"/>
    <mergeCell ref="A50:B50"/>
    <mergeCell ref="A55:B55"/>
    <mergeCell ref="A39:B39"/>
    <mergeCell ref="A43:E43"/>
    <mergeCell ref="A56:B56"/>
    <mergeCell ref="A40:B41"/>
    <mergeCell ref="E40:E41"/>
    <mergeCell ref="A29:B29"/>
    <mergeCell ref="A30:B30"/>
    <mergeCell ref="A31:B31"/>
    <mergeCell ref="C1:E1"/>
    <mergeCell ref="A8:B9"/>
    <mergeCell ref="E8:E9"/>
    <mergeCell ref="A11:E11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9"/>
  <sheetViews>
    <sheetView showGridLines="0" view="pageBreakPreview" zoomScale="80" zoomScaleNormal="80" zoomScaleSheetLayoutView="80" workbookViewId="0">
      <selection activeCell="H12" sqref="H12:H13"/>
    </sheetView>
  </sheetViews>
  <sheetFormatPr defaultRowHeight="12" customHeight="1" x14ac:dyDescent="0.2"/>
  <cols>
    <col min="1" max="1" width="3.140625" style="264" customWidth="1"/>
    <col min="2" max="2" width="3.85546875" style="362" customWidth="1"/>
    <col min="3" max="3" width="7.42578125" style="362" customWidth="1"/>
    <col min="4" max="4" width="11.5703125" style="362" customWidth="1"/>
    <col min="5" max="5" width="81" style="363" customWidth="1"/>
    <col min="6" max="6" width="13.7109375" style="360" customWidth="1"/>
    <col min="7" max="7" width="18.28515625" style="360" customWidth="1"/>
    <col min="8" max="8" width="14.42578125" style="360" customWidth="1"/>
    <col min="9" max="9" width="10.7109375" style="10" customWidth="1"/>
    <col min="10" max="10" width="16.140625" style="10" customWidth="1"/>
    <col min="11" max="11" width="12.140625" style="10" customWidth="1"/>
    <col min="12" max="12" width="11.85546875" style="10" customWidth="1"/>
    <col min="13" max="13" width="9.5703125" style="10" bestFit="1" customWidth="1"/>
    <col min="14" max="14" width="9.85546875" style="10" bestFit="1" customWidth="1"/>
    <col min="15" max="15" width="9.5703125" style="10" bestFit="1" customWidth="1"/>
    <col min="16" max="16384" width="9.140625" style="10"/>
  </cols>
  <sheetData>
    <row r="1" spans="1:12" ht="12" customHeight="1" x14ac:dyDescent="0.2">
      <c r="A1" s="263"/>
      <c r="B1" s="309"/>
      <c r="C1" s="309"/>
      <c r="D1" s="309"/>
      <c r="E1" s="969"/>
      <c r="F1" s="969"/>
      <c r="G1" s="969"/>
      <c r="H1" s="969"/>
    </row>
    <row r="2" spans="1:12" ht="15" customHeight="1" x14ac:dyDescent="0.2">
      <c r="A2" s="309"/>
      <c r="B2" s="309"/>
      <c r="C2" s="309"/>
      <c r="D2" s="309"/>
      <c r="E2" s="310"/>
      <c r="F2" s="311"/>
      <c r="G2" s="311"/>
      <c r="H2" s="311"/>
    </row>
    <row r="3" spans="1:12" ht="14.25" customHeight="1" thickBot="1" x14ac:dyDescent="0.25">
      <c r="A3" s="312"/>
      <c r="B3" s="312"/>
      <c r="C3" s="312"/>
      <c r="D3" s="312"/>
      <c r="E3" s="313"/>
      <c r="F3" s="314"/>
      <c r="G3" s="314"/>
      <c r="H3" s="315"/>
      <c r="I3" s="106"/>
      <c r="J3" s="106"/>
      <c r="K3" s="106"/>
      <c r="L3" s="106"/>
    </row>
    <row r="4" spans="1:12" ht="27" customHeight="1" x14ac:dyDescent="0.2">
      <c r="A4" s="728"/>
      <c r="B4" s="316"/>
      <c r="C4" s="990" t="s">
        <v>102</v>
      </c>
      <c r="D4" s="998" t="s">
        <v>200</v>
      </c>
      <c r="E4" s="992" t="s">
        <v>39</v>
      </c>
      <c r="F4" s="971" t="s">
        <v>164</v>
      </c>
      <c r="G4" s="971" t="s">
        <v>316</v>
      </c>
      <c r="H4" s="988" t="s">
        <v>30</v>
      </c>
      <c r="I4" s="106"/>
      <c r="J4" s="106"/>
      <c r="K4" s="106"/>
      <c r="L4" s="106"/>
    </row>
    <row r="5" spans="1:12" ht="29.25" customHeight="1" thickBot="1" x14ac:dyDescent="0.25">
      <c r="A5" s="729"/>
      <c r="B5" s="317"/>
      <c r="C5" s="991"/>
      <c r="D5" s="999"/>
      <c r="E5" s="993"/>
      <c r="F5" s="972"/>
      <c r="G5" s="972"/>
      <c r="H5" s="989"/>
      <c r="I5" s="106"/>
      <c r="J5" s="106"/>
      <c r="K5" s="106"/>
      <c r="L5" s="106"/>
    </row>
    <row r="6" spans="1:12" ht="21" customHeight="1" thickBot="1" x14ac:dyDescent="0.25">
      <c r="A6" s="994" t="s">
        <v>103</v>
      </c>
      <c r="B6" s="995"/>
      <c r="C6" s="995"/>
      <c r="D6" s="995"/>
      <c r="E6" s="995"/>
      <c r="F6" s="995"/>
      <c r="G6" s="995"/>
      <c r="H6" s="996"/>
      <c r="I6" s="106"/>
      <c r="J6" s="106"/>
      <c r="K6" s="106"/>
      <c r="L6" s="106"/>
    </row>
    <row r="7" spans="1:12" s="11" customFormat="1" ht="18" customHeight="1" x14ac:dyDescent="0.2">
      <c r="A7" s="384" t="s">
        <v>104</v>
      </c>
      <c r="B7" s="318"/>
      <c r="C7" s="319"/>
      <c r="D7" s="997" t="s">
        <v>85</v>
      </c>
      <c r="E7" s="997"/>
      <c r="F7" s="997"/>
      <c r="G7" s="997"/>
      <c r="H7" s="997"/>
      <c r="I7" s="107"/>
      <c r="J7" s="107"/>
      <c r="K7" s="107"/>
      <c r="L7" s="107"/>
    </row>
    <row r="8" spans="1:12" s="11" customFormat="1" ht="13.5" customHeight="1" x14ac:dyDescent="0.2">
      <c r="A8" s="966" t="s">
        <v>309</v>
      </c>
      <c r="B8" s="967"/>
      <c r="C8" s="967"/>
      <c r="D8" s="967"/>
      <c r="E8" s="968"/>
      <c r="F8" s="320">
        <f>F9+F10</f>
        <v>1806255</v>
      </c>
      <c r="G8" s="320">
        <f>G9+G10</f>
        <v>0</v>
      </c>
      <c r="H8" s="320">
        <f>F8+G8</f>
        <v>1806255</v>
      </c>
      <c r="I8" s="107"/>
      <c r="J8" s="107"/>
      <c r="K8" s="107"/>
      <c r="L8" s="107"/>
    </row>
    <row r="9" spans="1:12" s="11" customFormat="1" ht="11.25" customHeight="1" x14ac:dyDescent="0.2">
      <c r="A9" s="321"/>
      <c r="B9" s="321"/>
      <c r="C9" s="321"/>
      <c r="D9" s="321"/>
      <c r="E9" s="322" t="s">
        <v>81</v>
      </c>
      <c r="F9" s="320">
        <f>F13+F16+F19</f>
        <v>1806255</v>
      </c>
      <c r="G9" s="320">
        <f>G13+G16+G19</f>
        <v>0</v>
      </c>
      <c r="H9" s="320">
        <f t="shared" ref="H9:H10" si="0">F9+G9</f>
        <v>1806255</v>
      </c>
      <c r="I9" s="107"/>
      <c r="J9" s="107"/>
      <c r="K9" s="107"/>
      <c r="L9" s="107"/>
    </row>
    <row r="10" spans="1:12" s="11" customFormat="1" ht="12.75" customHeight="1" x14ac:dyDescent="0.2">
      <c r="A10" s="321"/>
      <c r="B10" s="321"/>
      <c r="C10" s="321"/>
      <c r="D10" s="321"/>
      <c r="E10" s="323" t="s">
        <v>82</v>
      </c>
      <c r="F10" s="320">
        <f>F14+F17+F20</f>
        <v>0</v>
      </c>
      <c r="G10" s="320">
        <f>G14+G17+G20</f>
        <v>0</v>
      </c>
      <c r="H10" s="320">
        <f t="shared" si="0"/>
        <v>0</v>
      </c>
      <c r="I10" s="107"/>
      <c r="J10" s="107"/>
      <c r="K10" s="107"/>
      <c r="L10" s="107"/>
    </row>
    <row r="11" spans="1:12" s="11" customFormat="1" ht="18" customHeight="1" x14ac:dyDescent="0.2">
      <c r="A11" s="262"/>
      <c r="B11" s="391">
        <v>1</v>
      </c>
      <c r="C11" s="260" t="s">
        <v>180</v>
      </c>
      <c r="D11" s="260" t="s">
        <v>70</v>
      </c>
      <c r="E11" s="324" t="s">
        <v>310</v>
      </c>
      <c r="F11" s="261"/>
      <c r="G11" s="261"/>
      <c r="H11" s="261">
        <f t="shared" ref="H11" si="1">F11+G11</f>
        <v>0</v>
      </c>
      <c r="I11" s="107"/>
      <c r="J11" s="107"/>
      <c r="K11" s="107"/>
      <c r="L11" s="107"/>
    </row>
    <row r="12" spans="1:12" s="11" customFormat="1" ht="12.75" customHeight="1" x14ac:dyDescent="0.2">
      <c r="A12" s="262"/>
      <c r="B12" s="391"/>
      <c r="C12" s="260"/>
      <c r="D12" s="260"/>
      <c r="E12" s="392" t="s">
        <v>248</v>
      </c>
      <c r="F12" s="261">
        <f>F13+F14</f>
        <v>1806255</v>
      </c>
      <c r="G12" s="261">
        <f>G13+G14</f>
        <v>0</v>
      </c>
      <c r="H12" s="261">
        <f>F12+G12</f>
        <v>1806255</v>
      </c>
      <c r="I12" s="107"/>
      <c r="J12" s="107"/>
      <c r="K12" s="107"/>
      <c r="L12" s="107"/>
    </row>
    <row r="13" spans="1:12" s="11" customFormat="1" ht="12.75" customHeight="1" x14ac:dyDescent="0.2">
      <c r="A13" s="262"/>
      <c r="B13" s="391"/>
      <c r="C13" s="260"/>
      <c r="D13" s="260"/>
      <c r="E13" s="278" t="s">
        <v>81</v>
      </c>
      <c r="F13" s="261">
        <f>755452+1050803</f>
        <v>1806255</v>
      </c>
      <c r="G13" s="261"/>
      <c r="H13" s="261">
        <f>F13+G13</f>
        <v>1806255</v>
      </c>
      <c r="I13" s="107"/>
      <c r="J13" s="107"/>
      <c r="K13" s="107"/>
      <c r="L13" s="107"/>
    </row>
    <row r="14" spans="1:12" s="11" customFormat="1" ht="12.75" x14ac:dyDescent="0.2">
      <c r="A14" s="262"/>
      <c r="B14" s="391"/>
      <c r="C14" s="260"/>
      <c r="D14" s="260"/>
      <c r="E14" s="296" t="s">
        <v>82</v>
      </c>
      <c r="F14" s="261"/>
      <c r="G14" s="261"/>
      <c r="H14" s="261"/>
      <c r="I14" s="107"/>
      <c r="J14" s="107"/>
      <c r="K14" s="107"/>
      <c r="L14" s="107"/>
    </row>
    <row r="15" spans="1:12" s="11" customFormat="1" ht="10.5" customHeight="1" x14ac:dyDescent="0.2">
      <c r="A15" s="262"/>
      <c r="B15" s="391"/>
      <c r="C15" s="260"/>
      <c r="D15" s="260"/>
      <c r="E15" s="392" t="s">
        <v>225</v>
      </c>
      <c r="F15" s="261">
        <f>F16+F17</f>
        <v>0</v>
      </c>
      <c r="G15" s="261">
        <f>G16+G17</f>
        <v>0</v>
      </c>
      <c r="H15" s="261">
        <f>F15+G15</f>
        <v>0</v>
      </c>
      <c r="I15" s="107"/>
      <c r="J15" s="107"/>
      <c r="K15" s="107"/>
      <c r="L15" s="107"/>
    </row>
    <row r="16" spans="1:12" s="11" customFormat="1" ht="12.75" customHeight="1" x14ac:dyDescent="0.2">
      <c r="A16" s="262"/>
      <c r="B16" s="391"/>
      <c r="C16" s="260"/>
      <c r="D16" s="260"/>
      <c r="E16" s="278" t="s">
        <v>81</v>
      </c>
      <c r="F16" s="261"/>
      <c r="G16" s="261"/>
      <c r="H16" s="261"/>
      <c r="I16" s="107"/>
      <c r="J16" s="107"/>
      <c r="K16" s="107"/>
      <c r="L16" s="107"/>
    </row>
    <row r="17" spans="1:12" s="11" customFormat="1" ht="13.5" customHeight="1" x14ac:dyDescent="0.2">
      <c r="A17" s="262"/>
      <c r="B17" s="391"/>
      <c r="C17" s="260"/>
      <c r="D17" s="260"/>
      <c r="E17" s="296" t="s">
        <v>82</v>
      </c>
      <c r="F17" s="261"/>
      <c r="G17" s="261"/>
      <c r="H17" s="261"/>
      <c r="I17" s="107"/>
      <c r="J17" s="107"/>
      <c r="K17" s="107"/>
      <c r="L17" s="107"/>
    </row>
    <row r="18" spans="1:12" s="11" customFormat="1" ht="13.5" customHeight="1" x14ac:dyDescent="0.2">
      <c r="A18" s="325"/>
      <c r="B18" s="325"/>
      <c r="C18" s="391"/>
      <c r="D18" s="326"/>
      <c r="E18" s="392" t="s">
        <v>226</v>
      </c>
      <c r="F18" s="261">
        <f>F19+F20</f>
        <v>0</v>
      </c>
      <c r="G18" s="261">
        <f>G19+G20</f>
        <v>0</v>
      </c>
      <c r="H18" s="261">
        <f>F18+G18</f>
        <v>0</v>
      </c>
      <c r="I18" s="107"/>
      <c r="J18" s="107"/>
      <c r="K18" s="107"/>
      <c r="L18" s="107"/>
    </row>
    <row r="19" spans="1:12" s="11" customFormat="1" ht="14.25" customHeight="1" x14ac:dyDescent="0.2">
      <c r="A19" s="325"/>
      <c r="B19" s="325"/>
      <c r="C19" s="391"/>
      <c r="D19" s="326"/>
      <c r="E19" s="278" t="s">
        <v>81</v>
      </c>
      <c r="F19" s="261"/>
      <c r="G19" s="261"/>
      <c r="H19" s="261"/>
      <c r="I19" s="107"/>
      <c r="J19" s="107"/>
      <c r="K19" s="107"/>
      <c r="L19" s="107"/>
    </row>
    <row r="20" spans="1:12" s="11" customFormat="1" ht="12" customHeight="1" x14ac:dyDescent="0.2">
      <c r="A20" s="325"/>
      <c r="B20" s="325"/>
      <c r="C20" s="391"/>
      <c r="D20" s="326"/>
      <c r="E20" s="296" t="s">
        <v>82</v>
      </c>
      <c r="F20" s="261"/>
      <c r="G20" s="261"/>
      <c r="H20" s="261"/>
      <c r="I20" s="107"/>
      <c r="J20" s="107"/>
      <c r="K20" s="107"/>
      <c r="L20" s="107"/>
    </row>
    <row r="21" spans="1:12" ht="15" customHeight="1" x14ac:dyDescent="0.2">
      <c r="A21" s="962" t="s">
        <v>125</v>
      </c>
      <c r="B21" s="962"/>
      <c r="C21" s="962"/>
      <c r="D21" s="962"/>
      <c r="E21" s="962"/>
      <c r="F21" s="320">
        <f>F24+F36+F60+F72+F84+F96+F108+F48</f>
        <v>12224792</v>
      </c>
      <c r="G21" s="320">
        <f>G24+G36+G60+G72+G84+G96+G108+G48</f>
        <v>0</v>
      </c>
      <c r="H21" s="320">
        <f>F21+G21</f>
        <v>12224792</v>
      </c>
      <c r="I21" s="106"/>
      <c r="J21" s="106"/>
      <c r="K21" s="106"/>
      <c r="L21" s="106"/>
    </row>
    <row r="22" spans="1:12" ht="15" customHeight="1" x14ac:dyDescent="0.2">
      <c r="A22" s="567"/>
      <c r="B22" s="567"/>
      <c r="C22" s="567"/>
      <c r="D22" s="567"/>
      <c r="E22" s="322" t="s">
        <v>81</v>
      </c>
      <c r="F22" s="320">
        <f>F25+F37+F61+F73+F85+F97+F109+F49</f>
        <v>10319792</v>
      </c>
      <c r="G22" s="320">
        <f>G25+G37+G61+G73+G85+G97+G109+G49</f>
        <v>0</v>
      </c>
      <c r="H22" s="320">
        <f>F22+G22</f>
        <v>10319792</v>
      </c>
      <c r="I22" s="106"/>
    </row>
    <row r="23" spans="1:12" ht="15" customHeight="1" x14ac:dyDescent="0.2">
      <c r="A23" s="567"/>
      <c r="B23" s="567"/>
      <c r="C23" s="567"/>
      <c r="D23" s="567"/>
      <c r="E23" s="323" t="s">
        <v>82</v>
      </c>
      <c r="F23" s="320">
        <f>F26+F38+F62+F74+F86+F98+F110+F50</f>
        <v>1905000</v>
      </c>
      <c r="G23" s="320">
        <f t="shared" ref="G23" si="2">G26+G38+G62+G74+G86+G98+G110</f>
        <v>0</v>
      </c>
      <c r="H23" s="320">
        <f>F23+G23</f>
        <v>1905000</v>
      </c>
      <c r="I23" s="106"/>
    </row>
    <row r="24" spans="1:12" s="26" customFormat="1" ht="15" customHeight="1" x14ac:dyDescent="0.2">
      <c r="A24" s="336"/>
      <c r="B24" s="327">
        <v>1</v>
      </c>
      <c r="C24" s="328" t="s">
        <v>166</v>
      </c>
      <c r="D24" s="328"/>
      <c r="E24" s="329" t="s">
        <v>184</v>
      </c>
      <c r="F24" s="330">
        <f>F25+F25</f>
        <v>0</v>
      </c>
      <c r="G24" s="330">
        <f>G25+G25</f>
        <v>0</v>
      </c>
      <c r="H24" s="330">
        <f>F24+G24</f>
        <v>0</v>
      </c>
      <c r="I24" s="108"/>
    </row>
    <row r="25" spans="1:12" s="26" customFormat="1" ht="15" customHeight="1" x14ac:dyDescent="0.2">
      <c r="A25" s="336"/>
      <c r="B25" s="327"/>
      <c r="C25" s="328"/>
      <c r="D25" s="328"/>
      <c r="E25" s="331" t="s">
        <v>81</v>
      </c>
      <c r="F25" s="330">
        <f>F28+F31+F34</f>
        <v>0</v>
      </c>
      <c r="G25" s="330">
        <f>G28+G31+G34</f>
        <v>0</v>
      </c>
      <c r="H25" s="330">
        <f t="shared" ref="H25:H26" si="3">F25+G25</f>
        <v>0</v>
      </c>
      <c r="I25" s="108"/>
    </row>
    <row r="26" spans="1:12" s="26" customFormat="1" ht="15" customHeight="1" x14ac:dyDescent="0.2">
      <c r="A26" s="336"/>
      <c r="B26" s="327"/>
      <c r="C26" s="328"/>
      <c r="D26" s="328"/>
      <c r="E26" s="332" t="s">
        <v>82</v>
      </c>
      <c r="F26" s="330">
        <f>F29+F32+F35</f>
        <v>0</v>
      </c>
      <c r="G26" s="330">
        <f>G29+G32+G35</f>
        <v>0</v>
      </c>
      <c r="H26" s="330">
        <f t="shared" si="3"/>
        <v>0</v>
      </c>
      <c r="I26" s="108"/>
    </row>
    <row r="27" spans="1:12" s="26" customFormat="1" ht="15" customHeight="1" x14ac:dyDescent="0.2">
      <c r="A27" s="361"/>
      <c r="B27" s="391"/>
      <c r="C27" s="333"/>
      <c r="D27" s="333"/>
      <c r="E27" s="392" t="s">
        <v>248</v>
      </c>
      <c r="F27" s="261">
        <f>F28+F29</f>
        <v>0</v>
      </c>
      <c r="G27" s="261">
        <f>G28+G29</f>
        <v>0</v>
      </c>
      <c r="H27" s="261">
        <f>F27+G27</f>
        <v>0</v>
      </c>
      <c r="I27" s="108"/>
    </row>
    <row r="28" spans="1:12" s="26" customFormat="1" ht="15" customHeight="1" x14ac:dyDescent="0.2">
      <c r="A28" s="361"/>
      <c r="B28" s="391"/>
      <c r="C28" s="333"/>
      <c r="D28" s="333"/>
      <c r="E28" s="278" t="s">
        <v>81</v>
      </c>
      <c r="F28" s="261"/>
      <c r="G28" s="261"/>
      <c r="H28" s="261"/>
      <c r="I28" s="108"/>
    </row>
    <row r="29" spans="1:12" s="26" customFormat="1" ht="15" customHeight="1" x14ac:dyDescent="0.2">
      <c r="A29" s="361"/>
      <c r="B29" s="391"/>
      <c r="C29" s="333"/>
      <c r="D29" s="333"/>
      <c r="E29" s="296" t="s">
        <v>82</v>
      </c>
      <c r="F29" s="261"/>
      <c r="G29" s="261"/>
      <c r="H29" s="261"/>
      <c r="I29" s="108"/>
    </row>
    <row r="30" spans="1:12" s="26" customFormat="1" ht="15" customHeight="1" x14ac:dyDescent="0.2">
      <c r="A30" s="361"/>
      <c r="B30" s="391"/>
      <c r="C30" s="333"/>
      <c r="D30" s="333"/>
      <c r="E30" s="392" t="s">
        <v>225</v>
      </c>
      <c r="F30" s="261">
        <f>F31+F32</f>
        <v>0</v>
      </c>
      <c r="G30" s="261">
        <f>G31+G32</f>
        <v>0</v>
      </c>
      <c r="H30" s="261">
        <f>F30+G30</f>
        <v>0</v>
      </c>
      <c r="I30" s="108"/>
      <c r="J30" s="108"/>
      <c r="K30" s="108"/>
      <c r="L30" s="108"/>
    </row>
    <row r="31" spans="1:12" s="26" customFormat="1" ht="15" customHeight="1" x14ac:dyDescent="0.2">
      <c r="A31" s="361"/>
      <c r="B31" s="391"/>
      <c r="C31" s="333"/>
      <c r="D31" s="333"/>
      <c r="E31" s="278" t="s">
        <v>81</v>
      </c>
      <c r="F31" s="261"/>
      <c r="G31" s="261"/>
      <c r="H31" s="261"/>
      <c r="I31" s="108"/>
      <c r="J31" s="108"/>
      <c r="K31" s="108"/>
      <c r="L31" s="108"/>
    </row>
    <row r="32" spans="1:12" s="26" customFormat="1" ht="15" customHeight="1" x14ac:dyDescent="0.2">
      <c r="A32" s="361"/>
      <c r="B32" s="391"/>
      <c r="C32" s="333"/>
      <c r="D32" s="333"/>
      <c r="E32" s="296" t="s">
        <v>82</v>
      </c>
      <c r="F32" s="261"/>
      <c r="G32" s="261"/>
      <c r="H32" s="261"/>
      <c r="I32" s="108"/>
      <c r="J32" s="108"/>
      <c r="K32" s="108"/>
      <c r="L32" s="108"/>
    </row>
    <row r="33" spans="1:12" s="26" customFormat="1" ht="15" customHeight="1" x14ac:dyDescent="0.2">
      <c r="A33" s="361"/>
      <c r="B33" s="391"/>
      <c r="C33" s="333"/>
      <c r="D33" s="333"/>
      <c r="E33" s="392" t="s">
        <v>226</v>
      </c>
      <c r="F33" s="261">
        <f>F34+F35</f>
        <v>0</v>
      </c>
      <c r="G33" s="261">
        <f>G34+G35</f>
        <v>0</v>
      </c>
      <c r="H33" s="261">
        <f>F33+G33</f>
        <v>0</v>
      </c>
      <c r="I33" s="108"/>
      <c r="J33" s="108"/>
      <c r="K33" s="108"/>
      <c r="L33" s="108"/>
    </row>
    <row r="34" spans="1:12" s="26" customFormat="1" ht="15" customHeight="1" x14ac:dyDescent="0.2">
      <c r="A34" s="361"/>
      <c r="B34" s="391"/>
      <c r="C34" s="333"/>
      <c r="D34" s="333"/>
      <c r="E34" s="278" t="s">
        <v>81</v>
      </c>
      <c r="F34" s="261"/>
      <c r="G34" s="261"/>
      <c r="H34" s="261"/>
      <c r="I34" s="108"/>
      <c r="J34" s="108"/>
      <c r="K34" s="108"/>
      <c r="L34" s="108"/>
    </row>
    <row r="35" spans="1:12" s="26" customFormat="1" ht="15" customHeight="1" x14ac:dyDescent="0.2">
      <c r="A35" s="361"/>
      <c r="B35" s="391"/>
      <c r="C35" s="333"/>
      <c r="D35" s="333"/>
      <c r="E35" s="296" t="s">
        <v>82</v>
      </c>
      <c r="F35" s="261"/>
      <c r="G35" s="261"/>
      <c r="H35" s="261"/>
      <c r="I35" s="108"/>
      <c r="J35" s="108"/>
      <c r="K35" s="108"/>
      <c r="L35" s="108"/>
    </row>
    <row r="36" spans="1:12" s="26" customFormat="1" ht="15" customHeight="1" x14ac:dyDescent="0.2">
      <c r="A36" s="730"/>
      <c r="B36" s="327">
        <v>2</v>
      </c>
      <c r="C36" s="327" t="s">
        <v>129</v>
      </c>
      <c r="D36" s="327"/>
      <c r="E36" s="334" t="s">
        <v>183</v>
      </c>
      <c r="F36" s="330">
        <f>F37+F38</f>
        <v>0</v>
      </c>
      <c r="G36" s="330">
        <f>G37+G38</f>
        <v>0</v>
      </c>
      <c r="H36" s="330"/>
      <c r="I36" s="108"/>
      <c r="J36" s="108"/>
      <c r="K36" s="108"/>
      <c r="L36" s="108"/>
    </row>
    <row r="37" spans="1:12" s="26" customFormat="1" ht="15" customHeight="1" x14ac:dyDescent="0.2">
      <c r="A37" s="730"/>
      <c r="B37" s="327"/>
      <c r="C37" s="327"/>
      <c r="D37" s="327"/>
      <c r="E37" s="331" t="s">
        <v>81</v>
      </c>
      <c r="F37" s="330">
        <f>F40+F43+F46</f>
        <v>0</v>
      </c>
      <c r="G37" s="330">
        <f>G40+G43+G46</f>
        <v>0</v>
      </c>
      <c r="H37" s="330">
        <f t="shared" ref="H37:H38" si="4">F37+G37</f>
        <v>0</v>
      </c>
      <c r="I37" s="108"/>
      <c r="J37" s="108"/>
      <c r="K37" s="108"/>
      <c r="L37" s="108"/>
    </row>
    <row r="38" spans="1:12" s="26" customFormat="1" ht="15" customHeight="1" x14ac:dyDescent="0.2">
      <c r="A38" s="730"/>
      <c r="B38" s="327"/>
      <c r="C38" s="327"/>
      <c r="D38" s="327"/>
      <c r="E38" s="332" t="s">
        <v>82</v>
      </c>
      <c r="F38" s="330">
        <f>F41+F44+F47</f>
        <v>0</v>
      </c>
      <c r="G38" s="330">
        <f>G41+G44+G47</f>
        <v>0</v>
      </c>
      <c r="H38" s="330">
        <f t="shared" si="4"/>
        <v>0</v>
      </c>
      <c r="I38" s="108"/>
      <c r="J38" s="108"/>
      <c r="K38" s="108"/>
      <c r="L38" s="108"/>
    </row>
    <row r="39" spans="1:12" s="26" customFormat="1" ht="15" customHeight="1" x14ac:dyDescent="0.2">
      <c r="A39" s="262"/>
      <c r="B39" s="391"/>
      <c r="C39" s="391"/>
      <c r="D39" s="391"/>
      <c r="E39" s="392" t="s">
        <v>248</v>
      </c>
      <c r="F39" s="261">
        <f>F40+F41</f>
        <v>0</v>
      </c>
      <c r="G39" s="261">
        <f>G40+G41</f>
        <v>0</v>
      </c>
      <c r="H39" s="261">
        <f>F39+G39</f>
        <v>0</v>
      </c>
      <c r="I39" s="108"/>
      <c r="J39" s="108"/>
      <c r="K39" s="108"/>
      <c r="L39" s="108"/>
    </row>
    <row r="40" spans="1:12" s="26" customFormat="1" ht="15" customHeight="1" x14ac:dyDescent="0.2">
      <c r="A40" s="262"/>
      <c r="B40" s="391"/>
      <c r="C40" s="391"/>
      <c r="D40" s="391"/>
      <c r="E40" s="278" t="s">
        <v>81</v>
      </c>
      <c r="F40" s="261"/>
      <c r="G40" s="261"/>
      <c r="H40" s="261">
        <f t="shared" ref="H40:H41" si="5">F40+G40</f>
        <v>0</v>
      </c>
      <c r="I40" s="108"/>
      <c r="J40" s="108"/>
      <c r="K40" s="108"/>
      <c r="L40" s="108"/>
    </row>
    <row r="41" spans="1:12" s="26" customFormat="1" ht="15" customHeight="1" x14ac:dyDescent="0.2">
      <c r="A41" s="262"/>
      <c r="B41" s="391"/>
      <c r="C41" s="391"/>
      <c r="D41" s="391"/>
      <c r="E41" s="296" t="s">
        <v>82</v>
      </c>
      <c r="F41" s="261"/>
      <c r="G41" s="261"/>
      <c r="H41" s="261">
        <f t="shared" si="5"/>
        <v>0</v>
      </c>
      <c r="I41" s="108"/>
      <c r="J41" s="108"/>
      <c r="K41" s="108"/>
      <c r="L41" s="108"/>
    </row>
    <row r="42" spans="1:12" s="26" customFormat="1" ht="15" customHeight="1" x14ac:dyDescent="0.2">
      <c r="A42" s="262"/>
      <c r="B42" s="391"/>
      <c r="C42" s="391"/>
      <c r="D42" s="391"/>
      <c r="E42" s="392" t="s">
        <v>225</v>
      </c>
      <c r="F42" s="261"/>
      <c r="G42" s="261"/>
      <c r="H42" s="261">
        <f>F42+G42</f>
        <v>0</v>
      </c>
      <c r="I42" s="108"/>
      <c r="J42" s="108"/>
      <c r="K42" s="108"/>
      <c r="L42" s="108"/>
    </row>
    <row r="43" spans="1:12" s="26" customFormat="1" ht="15" customHeight="1" x14ac:dyDescent="0.2">
      <c r="A43" s="262"/>
      <c r="B43" s="391"/>
      <c r="C43" s="391"/>
      <c r="D43" s="391"/>
      <c r="E43" s="278" t="s">
        <v>81</v>
      </c>
      <c r="F43" s="261"/>
      <c r="G43" s="261"/>
      <c r="H43" s="261">
        <f t="shared" ref="H43:H44" si="6">F43+G43</f>
        <v>0</v>
      </c>
      <c r="I43" s="108"/>
      <c r="J43" s="108"/>
      <c r="K43" s="108"/>
      <c r="L43" s="108"/>
    </row>
    <row r="44" spans="1:12" s="26" customFormat="1" ht="15" customHeight="1" x14ac:dyDescent="0.2">
      <c r="A44" s="262"/>
      <c r="B44" s="391"/>
      <c r="C44" s="391"/>
      <c r="D44" s="391"/>
      <c r="E44" s="296" t="s">
        <v>82</v>
      </c>
      <c r="F44" s="261"/>
      <c r="G44" s="261"/>
      <c r="H44" s="261">
        <f t="shared" si="6"/>
        <v>0</v>
      </c>
      <c r="I44" s="108"/>
      <c r="J44" s="108"/>
      <c r="K44" s="108"/>
      <c r="L44" s="108"/>
    </row>
    <row r="45" spans="1:12" s="26" customFormat="1" ht="15" customHeight="1" x14ac:dyDescent="0.2">
      <c r="A45" s="262"/>
      <c r="B45" s="391"/>
      <c r="C45" s="391"/>
      <c r="D45" s="391"/>
      <c r="E45" s="392" t="s">
        <v>226</v>
      </c>
      <c r="F45" s="261"/>
      <c r="G45" s="261"/>
      <c r="H45" s="261"/>
      <c r="I45" s="108"/>
      <c r="J45" s="108"/>
      <c r="K45" s="108"/>
      <c r="L45" s="108"/>
    </row>
    <row r="46" spans="1:12" s="26" customFormat="1" ht="15" customHeight="1" x14ac:dyDescent="0.2">
      <c r="A46" s="262"/>
      <c r="B46" s="391"/>
      <c r="C46" s="391"/>
      <c r="D46" s="391"/>
      <c r="E46" s="278" t="s">
        <v>81</v>
      </c>
      <c r="F46" s="261"/>
      <c r="G46" s="261"/>
      <c r="H46" s="261"/>
      <c r="I46" s="108"/>
      <c r="J46" s="108"/>
      <c r="K46" s="108"/>
      <c r="L46" s="108"/>
    </row>
    <row r="47" spans="1:12" s="26" customFormat="1" ht="15" customHeight="1" x14ac:dyDescent="0.2">
      <c r="A47" s="262"/>
      <c r="B47" s="391"/>
      <c r="C47" s="391"/>
      <c r="D47" s="391"/>
      <c r="E47" s="296" t="s">
        <v>82</v>
      </c>
      <c r="F47" s="261"/>
      <c r="G47" s="261"/>
      <c r="H47" s="261"/>
      <c r="I47" s="108"/>
      <c r="J47" s="108"/>
      <c r="K47" s="108"/>
      <c r="L47" s="108"/>
    </row>
    <row r="48" spans="1:12" s="26" customFormat="1" ht="15" customHeight="1" x14ac:dyDescent="0.2">
      <c r="A48" s="730"/>
      <c r="B48" s="327">
        <v>3</v>
      </c>
      <c r="C48" s="327" t="s">
        <v>127</v>
      </c>
      <c r="D48" s="327"/>
      <c r="E48" s="334" t="s">
        <v>185</v>
      </c>
      <c r="F48" s="330">
        <f>F49+F50</f>
        <v>300000</v>
      </c>
      <c r="G48" s="330">
        <f>G49+G50</f>
        <v>0</v>
      </c>
      <c r="H48" s="330">
        <f>H49+H50</f>
        <v>300000</v>
      </c>
      <c r="I48" s="108"/>
      <c r="J48" s="108"/>
      <c r="K48" s="108"/>
      <c r="L48" s="108"/>
    </row>
    <row r="49" spans="1:12" s="26" customFormat="1" ht="15" customHeight="1" x14ac:dyDescent="0.2">
      <c r="A49" s="730"/>
      <c r="B49" s="327"/>
      <c r="C49" s="327"/>
      <c r="D49" s="327"/>
      <c r="E49" s="331" t="s">
        <v>81</v>
      </c>
      <c r="F49" s="330">
        <f>F52+F55+F58</f>
        <v>300000</v>
      </c>
      <c r="G49" s="330">
        <f>G52+G55+G58</f>
        <v>0</v>
      </c>
      <c r="H49" s="330">
        <f t="shared" ref="H49:H50" si="7">F49+G49</f>
        <v>300000</v>
      </c>
      <c r="I49" s="108"/>
      <c r="J49" s="108"/>
      <c r="K49" s="108"/>
      <c r="L49" s="108"/>
    </row>
    <row r="50" spans="1:12" s="26" customFormat="1" ht="15" customHeight="1" x14ac:dyDescent="0.2">
      <c r="A50" s="730"/>
      <c r="B50" s="327"/>
      <c r="C50" s="327"/>
      <c r="D50" s="327"/>
      <c r="E50" s="332" t="s">
        <v>82</v>
      </c>
      <c r="F50" s="330">
        <f>F53+F56+F59</f>
        <v>0</v>
      </c>
      <c r="G50" s="330">
        <f>G53+G56+G59</f>
        <v>0</v>
      </c>
      <c r="H50" s="330">
        <f t="shared" si="7"/>
        <v>0</v>
      </c>
      <c r="I50" s="108"/>
      <c r="J50" s="108"/>
      <c r="K50" s="108"/>
      <c r="L50" s="108"/>
    </row>
    <row r="51" spans="1:12" s="26" customFormat="1" ht="15" customHeight="1" x14ac:dyDescent="0.2">
      <c r="A51" s="262"/>
      <c r="B51" s="391"/>
      <c r="C51" s="391"/>
      <c r="D51" s="391"/>
      <c r="E51" s="392" t="s">
        <v>248</v>
      </c>
      <c r="F51" s="261">
        <f>F52+F53</f>
        <v>300000</v>
      </c>
      <c r="G51" s="261">
        <f>G52+G53</f>
        <v>0</v>
      </c>
      <c r="H51" s="261">
        <f>F51+G51</f>
        <v>300000</v>
      </c>
      <c r="I51" s="108"/>
      <c r="J51" s="108"/>
      <c r="K51" s="108"/>
      <c r="L51" s="108"/>
    </row>
    <row r="52" spans="1:12" s="26" customFormat="1" ht="15" customHeight="1" x14ac:dyDescent="0.2">
      <c r="A52" s="262"/>
      <c r="B52" s="391"/>
      <c r="C52" s="391"/>
      <c r="D52" s="391"/>
      <c r="E52" s="278" t="s">
        <v>81</v>
      </c>
      <c r="F52" s="261">
        <v>300000</v>
      </c>
      <c r="G52" s="261"/>
      <c r="H52" s="261">
        <f t="shared" ref="H52:H53" si="8">F52+G52</f>
        <v>300000</v>
      </c>
      <c r="I52" s="108"/>
      <c r="J52" s="108"/>
      <c r="K52" s="108"/>
      <c r="L52" s="108"/>
    </row>
    <row r="53" spans="1:12" s="26" customFormat="1" ht="15" customHeight="1" x14ac:dyDescent="0.2">
      <c r="A53" s="262"/>
      <c r="B53" s="391"/>
      <c r="C53" s="391"/>
      <c r="D53" s="391"/>
      <c r="E53" s="296" t="s">
        <v>82</v>
      </c>
      <c r="F53" s="261"/>
      <c r="G53" s="261"/>
      <c r="H53" s="261">
        <f t="shared" si="8"/>
        <v>0</v>
      </c>
      <c r="I53" s="108"/>
      <c r="J53" s="108"/>
      <c r="K53" s="108"/>
      <c r="L53" s="108"/>
    </row>
    <row r="54" spans="1:12" s="26" customFormat="1" ht="15" customHeight="1" x14ac:dyDescent="0.2">
      <c r="A54" s="262"/>
      <c r="B54" s="391"/>
      <c r="C54" s="391"/>
      <c r="D54" s="391"/>
      <c r="E54" s="392" t="s">
        <v>225</v>
      </c>
      <c r="F54" s="261">
        <f>F55+F56</f>
        <v>0</v>
      </c>
      <c r="G54" s="261">
        <f>G55+G56</f>
        <v>0</v>
      </c>
      <c r="H54" s="261">
        <f>F54+G54</f>
        <v>0</v>
      </c>
      <c r="I54" s="108"/>
      <c r="J54" s="108"/>
      <c r="K54" s="108"/>
      <c r="L54" s="108"/>
    </row>
    <row r="55" spans="1:12" s="26" customFormat="1" ht="15" customHeight="1" x14ac:dyDescent="0.2">
      <c r="A55" s="262"/>
      <c r="B55" s="391"/>
      <c r="C55" s="391"/>
      <c r="D55" s="391"/>
      <c r="E55" s="278" t="s">
        <v>81</v>
      </c>
      <c r="F55" s="261"/>
      <c r="G55" s="261"/>
      <c r="H55" s="261">
        <f t="shared" ref="H55:H59" si="9">F55+G55</f>
        <v>0</v>
      </c>
      <c r="I55" s="108"/>
      <c r="J55" s="108"/>
      <c r="K55" s="108"/>
      <c r="L55" s="108"/>
    </row>
    <row r="56" spans="1:12" s="26" customFormat="1" ht="15" customHeight="1" x14ac:dyDescent="0.2">
      <c r="A56" s="262"/>
      <c r="B56" s="391"/>
      <c r="C56" s="391"/>
      <c r="D56" s="391"/>
      <c r="E56" s="296" t="s">
        <v>82</v>
      </c>
      <c r="F56" s="261"/>
      <c r="G56" s="261"/>
      <c r="H56" s="261">
        <f t="shared" si="9"/>
        <v>0</v>
      </c>
      <c r="I56" s="108"/>
      <c r="J56" s="108"/>
      <c r="K56" s="108"/>
      <c r="L56" s="108"/>
    </row>
    <row r="57" spans="1:12" s="26" customFormat="1" ht="15" customHeight="1" x14ac:dyDescent="0.2">
      <c r="A57" s="262"/>
      <c r="B57" s="391"/>
      <c r="C57" s="391"/>
      <c r="D57" s="391"/>
      <c r="E57" s="392" t="s">
        <v>226</v>
      </c>
      <c r="F57" s="261">
        <f>F58+F59</f>
        <v>0</v>
      </c>
      <c r="G57" s="261">
        <f>G58+G59</f>
        <v>0</v>
      </c>
      <c r="H57" s="261">
        <f t="shared" si="9"/>
        <v>0</v>
      </c>
      <c r="I57" s="108"/>
      <c r="J57" s="108"/>
      <c r="K57" s="108"/>
      <c r="L57" s="108"/>
    </row>
    <row r="58" spans="1:12" s="26" customFormat="1" ht="15" customHeight="1" x14ac:dyDescent="0.2">
      <c r="A58" s="262"/>
      <c r="B58" s="391"/>
      <c r="C58" s="391"/>
      <c r="D58" s="391"/>
      <c r="E58" s="278" t="s">
        <v>81</v>
      </c>
      <c r="F58" s="261"/>
      <c r="G58" s="261"/>
      <c r="H58" s="261">
        <f t="shared" si="9"/>
        <v>0</v>
      </c>
      <c r="I58" s="108"/>
      <c r="J58" s="108"/>
      <c r="K58" s="108"/>
      <c r="L58" s="108"/>
    </row>
    <row r="59" spans="1:12" s="26" customFormat="1" ht="15" customHeight="1" x14ac:dyDescent="0.2">
      <c r="A59" s="262"/>
      <c r="B59" s="391"/>
      <c r="C59" s="391"/>
      <c r="D59" s="391"/>
      <c r="E59" s="296" t="s">
        <v>82</v>
      </c>
      <c r="F59" s="261"/>
      <c r="G59" s="261"/>
      <c r="H59" s="261">
        <f t="shared" si="9"/>
        <v>0</v>
      </c>
      <c r="I59" s="108"/>
      <c r="J59" s="108"/>
      <c r="K59" s="108"/>
      <c r="L59" s="108"/>
    </row>
    <row r="60" spans="1:12" s="26" customFormat="1" ht="15" customHeight="1" x14ac:dyDescent="0.2">
      <c r="A60" s="730"/>
      <c r="B60" s="327">
        <v>4</v>
      </c>
      <c r="C60" s="327" t="s">
        <v>126</v>
      </c>
      <c r="D60" s="327"/>
      <c r="E60" s="334" t="s">
        <v>187</v>
      </c>
      <c r="F60" s="330">
        <f>F61+F62</f>
        <v>0</v>
      </c>
      <c r="G60" s="330">
        <f>G61+G62</f>
        <v>0</v>
      </c>
      <c r="H60" s="330">
        <f t="shared" ref="H60:H107" si="10">F60</f>
        <v>0</v>
      </c>
      <c r="I60" s="108"/>
      <c r="J60" s="108"/>
      <c r="K60" s="108"/>
      <c r="L60" s="108"/>
    </row>
    <row r="61" spans="1:12" s="26" customFormat="1" ht="15" customHeight="1" x14ac:dyDescent="0.2">
      <c r="A61" s="730"/>
      <c r="B61" s="327"/>
      <c r="C61" s="327"/>
      <c r="D61" s="327"/>
      <c r="E61" s="331" t="s">
        <v>81</v>
      </c>
      <c r="F61" s="330">
        <f>F64+F67+F70</f>
        <v>0</v>
      </c>
      <c r="G61" s="330">
        <f>G64+G67+G70</f>
        <v>0</v>
      </c>
      <c r="H61" s="330">
        <f t="shared" si="10"/>
        <v>0</v>
      </c>
      <c r="I61" s="108"/>
      <c r="J61" s="108"/>
      <c r="K61" s="108"/>
      <c r="L61" s="108"/>
    </row>
    <row r="62" spans="1:12" s="26" customFormat="1" ht="15" customHeight="1" x14ac:dyDescent="0.2">
      <c r="A62" s="730"/>
      <c r="B62" s="327"/>
      <c r="C62" s="327"/>
      <c r="D62" s="327"/>
      <c r="E62" s="332" t="s">
        <v>82</v>
      </c>
      <c r="F62" s="330">
        <f>F65+F68+F71</f>
        <v>0</v>
      </c>
      <c r="G62" s="330">
        <f>G65+G68+G71</f>
        <v>0</v>
      </c>
      <c r="H62" s="330">
        <f t="shared" si="10"/>
        <v>0</v>
      </c>
      <c r="I62" s="108"/>
      <c r="J62" s="108"/>
      <c r="K62" s="108"/>
      <c r="L62" s="108"/>
    </row>
    <row r="63" spans="1:12" s="26" customFormat="1" ht="15" customHeight="1" x14ac:dyDescent="0.2">
      <c r="A63" s="262"/>
      <c r="B63" s="391"/>
      <c r="C63" s="391"/>
      <c r="D63" s="391"/>
      <c r="E63" s="392" t="s">
        <v>248</v>
      </c>
      <c r="F63" s="261"/>
      <c r="G63" s="261">
        <f>G64+G65</f>
        <v>0</v>
      </c>
      <c r="H63" s="261">
        <f t="shared" si="10"/>
        <v>0</v>
      </c>
      <c r="I63" s="108"/>
      <c r="J63" s="108"/>
      <c r="K63" s="108"/>
      <c r="L63" s="108"/>
    </row>
    <row r="64" spans="1:12" s="26" customFormat="1" ht="15" customHeight="1" x14ac:dyDescent="0.2">
      <c r="A64" s="262"/>
      <c r="B64" s="391"/>
      <c r="C64" s="391"/>
      <c r="D64" s="391"/>
      <c r="E64" s="278" t="s">
        <v>81</v>
      </c>
      <c r="F64" s="261"/>
      <c r="G64" s="261"/>
      <c r="H64" s="261">
        <f t="shared" si="10"/>
        <v>0</v>
      </c>
      <c r="I64" s="108"/>
      <c r="J64" s="108"/>
      <c r="K64" s="108"/>
      <c r="L64" s="108"/>
    </row>
    <row r="65" spans="1:14" s="26" customFormat="1" ht="15" customHeight="1" x14ac:dyDescent="0.2">
      <c r="A65" s="262"/>
      <c r="B65" s="391"/>
      <c r="C65" s="391"/>
      <c r="D65" s="391"/>
      <c r="E65" s="296" t="s">
        <v>82</v>
      </c>
      <c r="F65" s="261"/>
      <c r="G65" s="261"/>
      <c r="H65" s="261">
        <f t="shared" si="10"/>
        <v>0</v>
      </c>
      <c r="I65" s="108"/>
      <c r="J65" s="108"/>
      <c r="K65" s="108"/>
      <c r="L65" s="108"/>
    </row>
    <row r="66" spans="1:14" s="26" customFormat="1" ht="15" customHeight="1" x14ac:dyDescent="0.2">
      <c r="A66" s="262"/>
      <c r="B66" s="391"/>
      <c r="C66" s="391"/>
      <c r="D66" s="391"/>
      <c r="E66" s="392" t="s">
        <v>225</v>
      </c>
      <c r="F66" s="261"/>
      <c r="G66" s="261">
        <f>G67+G68</f>
        <v>0</v>
      </c>
      <c r="H66" s="261">
        <f t="shared" si="10"/>
        <v>0</v>
      </c>
      <c r="I66" s="108"/>
      <c r="J66" s="108"/>
      <c r="K66" s="108"/>
      <c r="L66" s="108"/>
    </row>
    <row r="67" spans="1:14" s="26" customFormat="1" ht="15" customHeight="1" x14ac:dyDescent="0.2">
      <c r="A67" s="262"/>
      <c r="B67" s="391"/>
      <c r="C67" s="391"/>
      <c r="D67" s="391"/>
      <c r="E67" s="278" t="s">
        <v>81</v>
      </c>
      <c r="F67" s="261"/>
      <c r="G67" s="261"/>
      <c r="H67" s="261">
        <f t="shared" si="10"/>
        <v>0</v>
      </c>
      <c r="I67" s="108"/>
      <c r="J67" s="108"/>
      <c r="K67" s="108"/>
      <c r="L67" s="108"/>
    </row>
    <row r="68" spans="1:14" s="26" customFormat="1" ht="15" customHeight="1" x14ac:dyDescent="0.2">
      <c r="A68" s="262"/>
      <c r="B68" s="391"/>
      <c r="C68" s="391"/>
      <c r="D68" s="391"/>
      <c r="E68" s="296" t="s">
        <v>82</v>
      </c>
      <c r="F68" s="261"/>
      <c r="G68" s="261"/>
      <c r="H68" s="261">
        <f t="shared" si="10"/>
        <v>0</v>
      </c>
      <c r="I68" s="108"/>
      <c r="J68" s="108"/>
      <c r="K68" s="108"/>
      <c r="L68" s="108"/>
    </row>
    <row r="69" spans="1:14" s="26" customFormat="1" ht="15" customHeight="1" x14ac:dyDescent="0.2">
      <c r="A69" s="262"/>
      <c r="B69" s="391"/>
      <c r="C69" s="391"/>
      <c r="D69" s="391"/>
      <c r="E69" s="392" t="s">
        <v>226</v>
      </c>
      <c r="F69" s="261"/>
      <c r="G69" s="261">
        <f>G70+G71</f>
        <v>0</v>
      </c>
      <c r="H69" s="261">
        <f t="shared" si="10"/>
        <v>0</v>
      </c>
      <c r="I69" s="108"/>
      <c r="J69" s="108"/>
      <c r="K69" s="108"/>
      <c r="L69" s="108"/>
    </row>
    <row r="70" spans="1:14" s="26" customFormat="1" ht="15" customHeight="1" x14ac:dyDescent="0.2">
      <c r="A70" s="262"/>
      <c r="B70" s="391"/>
      <c r="C70" s="391"/>
      <c r="D70" s="391"/>
      <c r="E70" s="278" t="s">
        <v>81</v>
      </c>
      <c r="F70" s="261"/>
      <c r="G70" s="261"/>
      <c r="H70" s="261">
        <f t="shared" si="10"/>
        <v>0</v>
      </c>
      <c r="I70" s="108"/>
      <c r="J70" s="108"/>
      <c r="K70" s="108"/>
      <c r="L70" s="108"/>
    </row>
    <row r="71" spans="1:14" s="26" customFormat="1" ht="15" customHeight="1" x14ac:dyDescent="0.2">
      <c r="A71" s="262"/>
      <c r="B71" s="391"/>
      <c r="C71" s="391"/>
      <c r="D71" s="391"/>
      <c r="E71" s="296" t="s">
        <v>82</v>
      </c>
      <c r="F71" s="261"/>
      <c r="G71" s="261"/>
      <c r="H71" s="261">
        <f t="shared" si="10"/>
        <v>0</v>
      </c>
      <c r="I71" s="108"/>
      <c r="J71" s="108"/>
      <c r="K71" s="108"/>
      <c r="L71" s="108"/>
    </row>
    <row r="72" spans="1:14" s="26" customFormat="1" ht="15" customHeight="1" x14ac:dyDescent="0.2">
      <c r="A72" s="958"/>
      <c r="B72" s="955">
        <v>5</v>
      </c>
      <c r="C72" s="955" t="s">
        <v>199</v>
      </c>
      <c r="D72" s="955"/>
      <c r="E72" s="334" t="s">
        <v>196</v>
      </c>
      <c r="F72" s="330">
        <f>F73+F74</f>
        <v>9289600</v>
      </c>
      <c r="G72" s="330">
        <f>G73+G74</f>
        <v>0</v>
      </c>
      <c r="H72" s="330">
        <f t="shared" si="10"/>
        <v>9289600</v>
      </c>
      <c r="I72" s="108"/>
      <c r="J72" s="108"/>
      <c r="K72" s="235"/>
      <c r="L72" s="236"/>
      <c r="M72" s="236"/>
      <c r="N72" s="236"/>
    </row>
    <row r="73" spans="1:14" s="26" customFormat="1" ht="15" customHeight="1" x14ac:dyDescent="0.2">
      <c r="A73" s="959"/>
      <c r="B73" s="956"/>
      <c r="C73" s="956"/>
      <c r="D73" s="956"/>
      <c r="E73" s="331" t="s">
        <v>81</v>
      </c>
      <c r="F73" s="330">
        <f>F76+F79+F82</f>
        <v>7789600</v>
      </c>
      <c r="G73" s="330">
        <f>G76+G79+G82</f>
        <v>0</v>
      </c>
      <c r="H73" s="330">
        <f t="shared" si="10"/>
        <v>7789600</v>
      </c>
      <c r="I73" s="108"/>
      <c r="J73" s="108"/>
      <c r="K73" s="235"/>
      <c r="L73" s="236"/>
      <c r="M73" s="236"/>
      <c r="N73" s="236"/>
    </row>
    <row r="74" spans="1:14" s="26" customFormat="1" ht="15" customHeight="1" x14ac:dyDescent="0.2">
      <c r="A74" s="960"/>
      <c r="B74" s="957"/>
      <c r="C74" s="957"/>
      <c r="D74" s="957"/>
      <c r="E74" s="332" t="s">
        <v>82</v>
      </c>
      <c r="F74" s="330">
        <f>F77+F80+F83</f>
        <v>1500000</v>
      </c>
      <c r="G74" s="330">
        <f>G77+G80+G83</f>
        <v>0</v>
      </c>
      <c r="H74" s="330">
        <f t="shared" si="10"/>
        <v>1500000</v>
      </c>
      <c r="I74" s="108"/>
      <c r="J74" s="108"/>
      <c r="K74" s="235"/>
      <c r="L74" s="236"/>
      <c r="M74" s="236"/>
      <c r="N74" s="236"/>
    </row>
    <row r="75" spans="1:14" s="26" customFormat="1" ht="15" customHeight="1" x14ac:dyDescent="0.2">
      <c r="A75" s="262"/>
      <c r="B75" s="391"/>
      <c r="C75" s="391"/>
      <c r="D75" s="391"/>
      <c r="E75" s="392" t="s">
        <v>248</v>
      </c>
      <c r="F75" s="261">
        <f>F76+F77</f>
        <v>0</v>
      </c>
      <c r="G75" s="261">
        <f>G76+G77</f>
        <v>0</v>
      </c>
      <c r="H75" s="261">
        <f t="shared" si="10"/>
        <v>0</v>
      </c>
      <c r="I75" s="108"/>
      <c r="J75" s="108"/>
      <c r="K75" s="235"/>
      <c r="L75" s="236"/>
      <c r="M75" s="236"/>
      <c r="N75" s="236"/>
    </row>
    <row r="76" spans="1:14" s="26" customFormat="1" ht="15" customHeight="1" x14ac:dyDescent="0.2">
      <c r="A76" s="262"/>
      <c r="B76" s="391"/>
      <c r="C76" s="391"/>
      <c r="D76" s="391"/>
      <c r="E76" s="278" t="s">
        <v>81</v>
      </c>
      <c r="F76" s="261"/>
      <c r="G76" s="261"/>
      <c r="H76" s="261">
        <f t="shared" si="10"/>
        <v>0</v>
      </c>
      <c r="I76" s="108"/>
      <c r="J76" s="108"/>
      <c r="K76" s="235"/>
      <c r="L76" s="236"/>
      <c r="M76" s="236"/>
      <c r="N76" s="236"/>
    </row>
    <row r="77" spans="1:14" s="26" customFormat="1" ht="15" customHeight="1" x14ac:dyDescent="0.2">
      <c r="A77" s="262"/>
      <c r="B77" s="391"/>
      <c r="C77" s="391"/>
      <c r="D77" s="391"/>
      <c r="E77" s="296" t="s">
        <v>82</v>
      </c>
      <c r="F77" s="261"/>
      <c r="G77" s="261"/>
      <c r="H77" s="261">
        <f t="shared" si="10"/>
        <v>0</v>
      </c>
      <c r="I77" s="108"/>
      <c r="J77" s="108"/>
      <c r="K77" s="235"/>
      <c r="L77" s="236"/>
      <c r="M77" s="236"/>
      <c r="N77" s="236"/>
    </row>
    <row r="78" spans="1:14" s="26" customFormat="1" ht="15" customHeight="1" x14ac:dyDescent="0.2">
      <c r="A78" s="262"/>
      <c r="B78" s="391"/>
      <c r="C78" s="391"/>
      <c r="D78" s="391"/>
      <c r="E78" s="392" t="s">
        <v>225</v>
      </c>
      <c r="F78" s="261">
        <f>F79+F80</f>
        <v>9289600</v>
      </c>
      <c r="G78" s="261">
        <v>0</v>
      </c>
      <c r="H78" s="261">
        <f>F78+G78</f>
        <v>9289600</v>
      </c>
      <c r="I78" s="108"/>
      <c r="J78" s="108"/>
      <c r="K78" s="235"/>
      <c r="L78" s="236"/>
      <c r="M78" s="236"/>
      <c r="N78" s="236"/>
    </row>
    <row r="79" spans="1:14" s="26" customFormat="1" ht="15" customHeight="1" x14ac:dyDescent="0.2">
      <c r="A79" s="262"/>
      <c r="B79" s="391"/>
      <c r="C79" s="391"/>
      <c r="D79" s="391"/>
      <c r="E79" s="278" t="s">
        <v>81</v>
      </c>
      <c r="F79" s="261">
        <f>5500000+300000+1200000+658000+131600</f>
        <v>7789600</v>
      </c>
      <c r="G79" s="261">
        <v>0</v>
      </c>
      <c r="H79" s="261">
        <f>F79+G79</f>
        <v>7789600</v>
      </c>
      <c r="I79" s="108"/>
      <c r="J79" s="108"/>
      <c r="K79" s="237"/>
      <c r="L79" s="238"/>
      <c r="M79" s="238"/>
      <c r="N79" s="238"/>
    </row>
    <row r="80" spans="1:14" s="26" customFormat="1" ht="15" customHeight="1" x14ac:dyDescent="0.2">
      <c r="A80" s="262"/>
      <c r="B80" s="391"/>
      <c r="C80" s="391"/>
      <c r="D80" s="391"/>
      <c r="E80" s="296" t="s">
        <v>82</v>
      </c>
      <c r="F80" s="261">
        <v>1500000</v>
      </c>
      <c r="G80" s="261"/>
      <c r="H80" s="261">
        <f t="shared" si="10"/>
        <v>1500000</v>
      </c>
      <c r="I80" s="108"/>
      <c r="J80" s="108"/>
      <c r="K80" s="108"/>
      <c r="L80" s="108"/>
    </row>
    <row r="81" spans="1:12" s="26" customFormat="1" ht="15" customHeight="1" x14ac:dyDescent="0.2">
      <c r="A81" s="262"/>
      <c r="B81" s="391"/>
      <c r="C81" s="391"/>
      <c r="D81" s="391"/>
      <c r="E81" s="392" t="s">
        <v>226</v>
      </c>
      <c r="F81" s="261"/>
      <c r="G81" s="261">
        <f>G82+G83</f>
        <v>0</v>
      </c>
      <c r="H81" s="261">
        <f t="shared" si="10"/>
        <v>0</v>
      </c>
      <c r="I81" s="108"/>
      <c r="J81" s="108"/>
      <c r="K81" s="108"/>
      <c r="L81" s="108"/>
    </row>
    <row r="82" spans="1:12" s="26" customFormat="1" ht="15" customHeight="1" x14ac:dyDescent="0.2">
      <c r="A82" s="262"/>
      <c r="B82" s="391"/>
      <c r="C82" s="391"/>
      <c r="D82" s="391"/>
      <c r="E82" s="278" t="s">
        <v>81</v>
      </c>
      <c r="F82" s="261"/>
      <c r="G82" s="261"/>
      <c r="H82" s="261">
        <f t="shared" si="10"/>
        <v>0</v>
      </c>
      <c r="I82" s="108"/>
      <c r="J82" s="108"/>
      <c r="K82" s="108"/>
      <c r="L82" s="108"/>
    </row>
    <row r="83" spans="1:12" s="26" customFormat="1" ht="15" customHeight="1" x14ac:dyDescent="0.2">
      <c r="A83" s="262"/>
      <c r="B83" s="391"/>
      <c r="C83" s="391"/>
      <c r="D83" s="391"/>
      <c r="E83" s="296" t="s">
        <v>82</v>
      </c>
      <c r="F83" s="261"/>
      <c r="G83" s="261"/>
      <c r="H83" s="261">
        <f t="shared" si="10"/>
        <v>0</v>
      </c>
      <c r="I83" s="108"/>
      <c r="J83" s="108"/>
      <c r="K83" s="108"/>
      <c r="L83" s="108"/>
    </row>
    <row r="84" spans="1:12" s="26" customFormat="1" ht="15" customHeight="1" x14ac:dyDescent="0.2">
      <c r="A84" s="730"/>
      <c r="B84" s="327">
        <v>6</v>
      </c>
      <c r="C84" s="327" t="s">
        <v>195</v>
      </c>
      <c r="D84" s="327"/>
      <c r="E84" s="334" t="s">
        <v>197</v>
      </c>
      <c r="F84" s="330">
        <f>F85+F86</f>
        <v>2535192</v>
      </c>
      <c r="G84" s="330">
        <f>G85+G86</f>
        <v>0</v>
      </c>
      <c r="H84" s="330">
        <f t="shared" si="10"/>
        <v>2535192</v>
      </c>
      <c r="I84" s="108"/>
      <c r="J84" s="108"/>
      <c r="K84" s="108"/>
      <c r="L84" s="108"/>
    </row>
    <row r="85" spans="1:12" s="26" customFormat="1" ht="15" customHeight="1" x14ac:dyDescent="0.2">
      <c r="A85" s="730"/>
      <c r="B85" s="327"/>
      <c r="C85" s="327"/>
      <c r="D85" s="327"/>
      <c r="E85" s="331" t="s">
        <v>81</v>
      </c>
      <c r="F85" s="330">
        <f>F88+F91+F94</f>
        <v>2130192</v>
      </c>
      <c r="G85" s="330"/>
      <c r="H85" s="330">
        <f t="shared" si="10"/>
        <v>2130192</v>
      </c>
      <c r="I85" s="108"/>
      <c r="J85" s="108"/>
      <c r="K85" s="108"/>
      <c r="L85" s="108"/>
    </row>
    <row r="86" spans="1:12" s="26" customFormat="1" ht="15" customHeight="1" x14ac:dyDescent="0.2">
      <c r="A86" s="730"/>
      <c r="B86" s="327"/>
      <c r="C86" s="327"/>
      <c r="D86" s="327"/>
      <c r="E86" s="332" t="s">
        <v>82</v>
      </c>
      <c r="F86" s="330">
        <f>F89+F92+F95</f>
        <v>405000</v>
      </c>
      <c r="G86" s="330"/>
      <c r="H86" s="330">
        <f t="shared" si="10"/>
        <v>405000</v>
      </c>
      <c r="I86" s="108"/>
      <c r="J86" s="108"/>
      <c r="K86" s="108"/>
      <c r="L86" s="108"/>
    </row>
    <row r="87" spans="1:12" s="26" customFormat="1" ht="15" customHeight="1" x14ac:dyDescent="0.2">
      <c r="A87" s="262"/>
      <c r="B87" s="391"/>
      <c r="C87" s="391"/>
      <c r="D87" s="391"/>
      <c r="E87" s="392" t="s">
        <v>248</v>
      </c>
      <c r="F87" s="261">
        <f>F88+F89</f>
        <v>108000</v>
      </c>
      <c r="G87" s="261">
        <f>G88+G89</f>
        <v>0</v>
      </c>
      <c r="H87" s="261">
        <f t="shared" si="10"/>
        <v>108000</v>
      </c>
      <c r="I87" s="108"/>
      <c r="J87" s="108"/>
      <c r="K87" s="108"/>
      <c r="L87" s="108"/>
    </row>
    <row r="88" spans="1:12" s="26" customFormat="1" ht="15" customHeight="1" x14ac:dyDescent="0.2">
      <c r="A88" s="262"/>
      <c r="B88" s="391"/>
      <c r="C88" s="391"/>
      <c r="D88" s="391"/>
      <c r="E88" s="278" t="s">
        <v>81</v>
      </c>
      <c r="F88" s="261">
        <v>108000</v>
      </c>
      <c r="G88" s="261"/>
      <c r="H88" s="261">
        <f t="shared" si="10"/>
        <v>108000</v>
      </c>
      <c r="I88" s="108"/>
      <c r="J88" s="108"/>
      <c r="K88" s="108"/>
      <c r="L88" s="108"/>
    </row>
    <row r="89" spans="1:12" s="26" customFormat="1" ht="15" customHeight="1" x14ac:dyDescent="0.2">
      <c r="A89" s="262"/>
      <c r="B89" s="391"/>
      <c r="C89" s="391"/>
      <c r="D89" s="391"/>
      <c r="E89" s="296" t="s">
        <v>82</v>
      </c>
      <c r="F89" s="261"/>
      <c r="G89" s="261"/>
      <c r="H89" s="261">
        <f t="shared" si="10"/>
        <v>0</v>
      </c>
      <c r="I89" s="108"/>
      <c r="J89" s="108"/>
      <c r="K89" s="108"/>
      <c r="L89" s="108"/>
    </row>
    <row r="90" spans="1:12" s="26" customFormat="1" ht="15" customHeight="1" x14ac:dyDescent="0.2">
      <c r="A90" s="262"/>
      <c r="B90" s="391"/>
      <c r="C90" s="391"/>
      <c r="D90" s="391"/>
      <c r="E90" s="392" t="s">
        <v>225</v>
      </c>
      <c r="F90" s="261">
        <f>F91+F92</f>
        <v>2427192</v>
      </c>
      <c r="G90" s="261"/>
      <c r="H90" s="261">
        <f t="shared" si="10"/>
        <v>2427192</v>
      </c>
      <c r="I90" s="108"/>
      <c r="J90" s="108"/>
      <c r="K90" s="108"/>
      <c r="L90" s="108"/>
    </row>
    <row r="91" spans="1:12" s="26" customFormat="1" ht="15" customHeight="1" x14ac:dyDescent="0.2">
      <c r="A91" s="262"/>
      <c r="B91" s="391"/>
      <c r="C91" s="391"/>
      <c r="D91" s="391"/>
      <c r="E91" s="278" t="s">
        <v>81</v>
      </c>
      <c r="F91" s="261">
        <f>(F79-300000)*27%</f>
        <v>2022192.0000000002</v>
      </c>
      <c r="G91" s="261"/>
      <c r="H91" s="261">
        <f t="shared" si="10"/>
        <v>2022192.0000000002</v>
      </c>
      <c r="I91" s="108"/>
      <c r="J91" s="108"/>
      <c r="K91" s="108"/>
      <c r="L91" s="108"/>
    </row>
    <row r="92" spans="1:12" s="26" customFormat="1" ht="15" customHeight="1" x14ac:dyDescent="0.2">
      <c r="A92" s="262"/>
      <c r="B92" s="391"/>
      <c r="C92" s="391"/>
      <c r="D92" s="391"/>
      <c r="E92" s="296" t="s">
        <v>82</v>
      </c>
      <c r="F92" s="261">
        <f>F80*27%</f>
        <v>405000</v>
      </c>
      <c r="G92" s="261"/>
      <c r="H92" s="261">
        <f t="shared" si="10"/>
        <v>405000</v>
      </c>
      <c r="I92" s="108"/>
      <c r="J92" s="108"/>
      <c r="K92" s="108"/>
      <c r="L92" s="108"/>
    </row>
    <row r="93" spans="1:12" s="26" customFormat="1" ht="15" customHeight="1" x14ac:dyDescent="0.2">
      <c r="A93" s="262"/>
      <c r="B93" s="391"/>
      <c r="C93" s="391"/>
      <c r="D93" s="391"/>
      <c r="E93" s="392" t="s">
        <v>226</v>
      </c>
      <c r="F93" s="261"/>
      <c r="G93" s="261"/>
      <c r="H93" s="261">
        <f t="shared" si="10"/>
        <v>0</v>
      </c>
      <c r="I93" s="108"/>
      <c r="J93" s="108"/>
      <c r="K93" s="108"/>
      <c r="L93" s="108"/>
    </row>
    <row r="94" spans="1:12" s="26" customFormat="1" ht="15" customHeight="1" x14ac:dyDescent="0.2">
      <c r="A94" s="262"/>
      <c r="B94" s="391"/>
      <c r="C94" s="391"/>
      <c r="D94" s="391"/>
      <c r="E94" s="278" t="s">
        <v>81</v>
      </c>
      <c r="F94" s="261"/>
      <c r="G94" s="261"/>
      <c r="H94" s="261">
        <f t="shared" si="10"/>
        <v>0</v>
      </c>
      <c r="I94" s="108"/>
      <c r="J94" s="108"/>
      <c r="K94" s="108"/>
      <c r="L94" s="108"/>
    </row>
    <row r="95" spans="1:12" s="26" customFormat="1" ht="15" customHeight="1" x14ac:dyDescent="0.2">
      <c r="A95" s="262"/>
      <c r="B95" s="391"/>
      <c r="C95" s="391"/>
      <c r="D95" s="391"/>
      <c r="E95" s="296" t="s">
        <v>82</v>
      </c>
      <c r="F95" s="261"/>
      <c r="G95" s="261"/>
      <c r="H95" s="261">
        <f t="shared" si="10"/>
        <v>0</v>
      </c>
      <c r="I95" s="108"/>
      <c r="J95" s="108"/>
      <c r="K95" s="108"/>
      <c r="L95" s="108"/>
    </row>
    <row r="96" spans="1:12" s="26" customFormat="1" ht="15" customHeight="1" x14ac:dyDescent="0.2">
      <c r="A96" s="730"/>
      <c r="B96" s="327">
        <v>8</v>
      </c>
      <c r="C96" s="327" t="s">
        <v>128</v>
      </c>
      <c r="D96" s="327"/>
      <c r="E96" s="334" t="s">
        <v>182</v>
      </c>
      <c r="F96" s="330">
        <f>F97+F98</f>
        <v>0</v>
      </c>
      <c r="G96" s="330">
        <f>G97+G98</f>
        <v>0</v>
      </c>
      <c r="H96" s="330">
        <f t="shared" si="10"/>
        <v>0</v>
      </c>
      <c r="I96" s="108"/>
      <c r="J96" s="108"/>
      <c r="K96" s="108"/>
      <c r="L96" s="108"/>
    </row>
    <row r="97" spans="1:12" s="26" customFormat="1" ht="15" customHeight="1" x14ac:dyDescent="0.2">
      <c r="A97" s="730"/>
      <c r="B97" s="327"/>
      <c r="C97" s="327"/>
      <c r="D97" s="327"/>
      <c r="E97" s="331" t="s">
        <v>81</v>
      </c>
      <c r="F97" s="330">
        <f>F100+F103+F106</f>
        <v>0</v>
      </c>
      <c r="G97" s="330"/>
      <c r="H97" s="330">
        <f t="shared" si="10"/>
        <v>0</v>
      </c>
      <c r="I97" s="108"/>
      <c r="J97" s="108"/>
      <c r="K97" s="108"/>
      <c r="L97" s="108"/>
    </row>
    <row r="98" spans="1:12" s="26" customFormat="1" ht="15" customHeight="1" x14ac:dyDescent="0.2">
      <c r="A98" s="730"/>
      <c r="B98" s="327"/>
      <c r="C98" s="327"/>
      <c r="D98" s="327"/>
      <c r="E98" s="332" t="s">
        <v>82</v>
      </c>
      <c r="F98" s="330">
        <f>F101+F104+F107</f>
        <v>0</v>
      </c>
      <c r="G98" s="330">
        <f>G101+G104+G107</f>
        <v>0</v>
      </c>
      <c r="H98" s="330">
        <f t="shared" si="10"/>
        <v>0</v>
      </c>
      <c r="I98" s="108"/>
      <c r="J98" s="108"/>
      <c r="K98" s="108"/>
      <c r="L98" s="108"/>
    </row>
    <row r="99" spans="1:12" s="26" customFormat="1" ht="15" customHeight="1" x14ac:dyDescent="0.2">
      <c r="A99" s="262"/>
      <c r="B99" s="391"/>
      <c r="C99" s="391"/>
      <c r="D99" s="391"/>
      <c r="E99" s="392" t="s">
        <v>248</v>
      </c>
      <c r="F99" s="261">
        <f>F100+F101</f>
        <v>0</v>
      </c>
      <c r="G99" s="261"/>
      <c r="H99" s="261">
        <f t="shared" si="10"/>
        <v>0</v>
      </c>
      <c r="I99" s="108"/>
      <c r="J99" s="108"/>
      <c r="K99" s="108"/>
      <c r="L99" s="108"/>
    </row>
    <row r="100" spans="1:12" s="26" customFormat="1" ht="15" customHeight="1" x14ac:dyDescent="0.2">
      <c r="A100" s="262"/>
      <c r="B100" s="391"/>
      <c r="C100" s="391"/>
      <c r="D100" s="391"/>
      <c r="E100" s="278" t="s">
        <v>81</v>
      </c>
      <c r="F100" s="261"/>
      <c r="G100" s="261"/>
      <c r="H100" s="261">
        <f t="shared" si="10"/>
        <v>0</v>
      </c>
      <c r="I100" s="108"/>
      <c r="J100" s="108"/>
      <c r="K100" s="108"/>
      <c r="L100" s="108"/>
    </row>
    <row r="101" spans="1:12" s="26" customFormat="1" ht="15" customHeight="1" x14ac:dyDescent="0.2">
      <c r="A101" s="262"/>
      <c r="B101" s="391"/>
      <c r="C101" s="391"/>
      <c r="D101" s="391"/>
      <c r="E101" s="296" t="s">
        <v>82</v>
      </c>
      <c r="F101" s="261"/>
      <c r="G101" s="261"/>
      <c r="H101" s="261">
        <f t="shared" si="10"/>
        <v>0</v>
      </c>
      <c r="I101" s="108"/>
      <c r="J101" s="108"/>
      <c r="K101" s="108"/>
      <c r="L101" s="108"/>
    </row>
    <row r="102" spans="1:12" s="26" customFormat="1" ht="15" customHeight="1" x14ac:dyDescent="0.2">
      <c r="A102" s="262"/>
      <c r="B102" s="391"/>
      <c r="C102" s="391"/>
      <c r="D102" s="391"/>
      <c r="E102" s="392" t="s">
        <v>225</v>
      </c>
      <c r="F102" s="261">
        <f>F103+F104</f>
        <v>0</v>
      </c>
      <c r="G102" s="261"/>
      <c r="H102" s="261">
        <f t="shared" si="10"/>
        <v>0</v>
      </c>
      <c r="I102" s="108"/>
      <c r="J102" s="108"/>
      <c r="K102" s="108"/>
      <c r="L102" s="108"/>
    </row>
    <row r="103" spans="1:12" s="26" customFormat="1" ht="15" customHeight="1" x14ac:dyDescent="0.2">
      <c r="A103" s="262"/>
      <c r="B103" s="391"/>
      <c r="C103" s="391"/>
      <c r="D103" s="391"/>
      <c r="E103" s="278" t="s">
        <v>81</v>
      </c>
      <c r="F103" s="261"/>
      <c r="G103" s="261"/>
      <c r="H103" s="261">
        <f t="shared" si="10"/>
        <v>0</v>
      </c>
      <c r="I103" s="108"/>
      <c r="J103" s="108"/>
      <c r="K103" s="108"/>
      <c r="L103" s="108"/>
    </row>
    <row r="104" spans="1:12" s="26" customFormat="1" ht="15" customHeight="1" x14ac:dyDescent="0.2">
      <c r="A104" s="262"/>
      <c r="B104" s="391"/>
      <c r="C104" s="391"/>
      <c r="D104" s="391"/>
      <c r="E104" s="296" t="s">
        <v>82</v>
      </c>
      <c r="F104" s="261"/>
      <c r="G104" s="261"/>
      <c r="H104" s="261">
        <f t="shared" si="10"/>
        <v>0</v>
      </c>
      <c r="I104" s="108"/>
      <c r="J104" s="108"/>
      <c r="K104" s="108"/>
      <c r="L104" s="108"/>
    </row>
    <row r="105" spans="1:12" s="26" customFormat="1" ht="15" customHeight="1" x14ac:dyDescent="0.2">
      <c r="A105" s="262"/>
      <c r="B105" s="391"/>
      <c r="C105" s="391"/>
      <c r="D105" s="391"/>
      <c r="E105" s="392" t="s">
        <v>226</v>
      </c>
      <c r="F105" s="261">
        <f>F106+F107</f>
        <v>0</v>
      </c>
      <c r="G105" s="261"/>
      <c r="H105" s="261">
        <f t="shared" si="10"/>
        <v>0</v>
      </c>
      <c r="I105" s="108"/>
      <c r="J105" s="108"/>
      <c r="K105" s="108"/>
      <c r="L105" s="108"/>
    </row>
    <row r="106" spans="1:12" s="26" customFormat="1" ht="15" customHeight="1" x14ac:dyDescent="0.2">
      <c r="A106" s="262"/>
      <c r="B106" s="391"/>
      <c r="C106" s="391"/>
      <c r="D106" s="391"/>
      <c r="E106" s="278" t="s">
        <v>81</v>
      </c>
      <c r="F106" s="261"/>
      <c r="G106" s="261"/>
      <c r="H106" s="261">
        <f t="shared" si="10"/>
        <v>0</v>
      </c>
      <c r="I106" s="108"/>
      <c r="J106" s="108"/>
      <c r="K106" s="108"/>
      <c r="L106" s="108"/>
    </row>
    <row r="107" spans="1:12" s="26" customFormat="1" ht="15" customHeight="1" x14ac:dyDescent="0.2">
      <c r="A107" s="262"/>
      <c r="B107" s="391"/>
      <c r="C107" s="391"/>
      <c r="D107" s="391"/>
      <c r="E107" s="296" t="s">
        <v>82</v>
      </c>
      <c r="F107" s="261"/>
      <c r="G107" s="261"/>
      <c r="H107" s="261">
        <f t="shared" si="10"/>
        <v>0</v>
      </c>
      <c r="I107" s="108"/>
      <c r="J107" s="108"/>
      <c r="K107" s="108"/>
      <c r="L107" s="108"/>
    </row>
    <row r="108" spans="1:12" s="26" customFormat="1" ht="15" customHeight="1" x14ac:dyDescent="0.2">
      <c r="A108" s="730"/>
      <c r="B108" s="327">
        <v>10</v>
      </c>
      <c r="C108" s="327" t="s">
        <v>168</v>
      </c>
      <c r="D108" s="327"/>
      <c r="E108" s="334" t="s">
        <v>170</v>
      </c>
      <c r="F108" s="330">
        <f>F109+F110</f>
        <v>100000</v>
      </c>
      <c r="G108" s="330">
        <f>G109+G110</f>
        <v>0</v>
      </c>
      <c r="H108" s="330">
        <f t="shared" ref="H108:H149" si="11">F108</f>
        <v>100000</v>
      </c>
      <c r="I108" s="108"/>
      <c r="J108" s="108"/>
      <c r="K108" s="108"/>
      <c r="L108" s="108"/>
    </row>
    <row r="109" spans="1:12" s="26" customFormat="1" ht="15" customHeight="1" x14ac:dyDescent="0.2">
      <c r="A109" s="730"/>
      <c r="B109" s="327"/>
      <c r="C109" s="327"/>
      <c r="D109" s="327"/>
      <c r="E109" s="331" t="s">
        <v>81</v>
      </c>
      <c r="F109" s="330">
        <f>F112+F115+F118</f>
        <v>100000</v>
      </c>
      <c r="G109" s="330">
        <f>G112+G115+G118</f>
        <v>0</v>
      </c>
      <c r="H109" s="330">
        <f t="shared" si="11"/>
        <v>100000</v>
      </c>
      <c r="I109" s="108"/>
      <c r="J109" s="108"/>
      <c r="K109" s="108"/>
      <c r="L109" s="108"/>
    </row>
    <row r="110" spans="1:12" s="26" customFormat="1" ht="15" customHeight="1" x14ac:dyDescent="0.2">
      <c r="A110" s="730"/>
      <c r="B110" s="327"/>
      <c r="C110" s="327"/>
      <c r="D110" s="327"/>
      <c r="E110" s="332" t="s">
        <v>82</v>
      </c>
      <c r="F110" s="330">
        <f>F113+F116+F119</f>
        <v>0</v>
      </c>
      <c r="G110" s="330">
        <f>G113+G116+G119</f>
        <v>0</v>
      </c>
      <c r="H110" s="330">
        <f t="shared" si="11"/>
        <v>0</v>
      </c>
      <c r="I110" s="108"/>
      <c r="J110" s="108"/>
      <c r="K110" s="108"/>
      <c r="L110" s="108"/>
    </row>
    <row r="111" spans="1:12" s="26" customFormat="1" ht="15" customHeight="1" x14ac:dyDescent="0.2">
      <c r="A111" s="262"/>
      <c r="B111" s="391"/>
      <c r="C111" s="391"/>
      <c r="D111" s="391"/>
      <c r="E111" s="392" t="s">
        <v>248</v>
      </c>
      <c r="F111" s="261">
        <f>F112+F113</f>
        <v>100000</v>
      </c>
      <c r="G111" s="261">
        <f>G112+G113</f>
        <v>0</v>
      </c>
      <c r="H111" s="261">
        <f t="shared" si="11"/>
        <v>100000</v>
      </c>
      <c r="I111" s="108"/>
      <c r="J111" s="108"/>
      <c r="K111" s="108"/>
      <c r="L111" s="108"/>
    </row>
    <row r="112" spans="1:12" s="26" customFormat="1" ht="15" customHeight="1" x14ac:dyDescent="0.2">
      <c r="A112" s="262"/>
      <c r="B112" s="391"/>
      <c r="C112" s="391"/>
      <c r="D112" s="391"/>
      <c r="E112" s="278" t="s">
        <v>81</v>
      </c>
      <c r="F112" s="261">
        <v>100000</v>
      </c>
      <c r="G112" s="261"/>
      <c r="H112" s="261">
        <f t="shared" si="11"/>
        <v>100000</v>
      </c>
      <c r="I112" s="108"/>
      <c r="J112" s="108"/>
      <c r="K112" s="108"/>
      <c r="L112" s="108"/>
    </row>
    <row r="113" spans="1:12" s="26" customFormat="1" ht="15" customHeight="1" x14ac:dyDescent="0.2">
      <c r="A113" s="262"/>
      <c r="B113" s="391"/>
      <c r="C113" s="391"/>
      <c r="D113" s="391"/>
      <c r="E113" s="296" t="s">
        <v>82</v>
      </c>
      <c r="F113" s="261"/>
      <c r="G113" s="261"/>
      <c r="H113" s="261">
        <f t="shared" si="11"/>
        <v>0</v>
      </c>
      <c r="I113" s="108"/>
      <c r="J113" s="108"/>
      <c r="K113" s="108"/>
      <c r="L113" s="108"/>
    </row>
    <row r="114" spans="1:12" s="26" customFormat="1" ht="15" customHeight="1" x14ac:dyDescent="0.2">
      <c r="A114" s="262"/>
      <c r="B114" s="391"/>
      <c r="C114" s="391"/>
      <c r="D114" s="391"/>
      <c r="E114" s="392" t="s">
        <v>225</v>
      </c>
      <c r="F114" s="261"/>
      <c r="G114" s="261"/>
      <c r="H114" s="261">
        <f t="shared" si="11"/>
        <v>0</v>
      </c>
      <c r="I114" s="108"/>
      <c r="J114" s="108"/>
      <c r="K114" s="108"/>
      <c r="L114" s="108"/>
    </row>
    <row r="115" spans="1:12" s="26" customFormat="1" ht="15" customHeight="1" x14ac:dyDescent="0.2">
      <c r="A115" s="262"/>
      <c r="B115" s="391"/>
      <c r="C115" s="391"/>
      <c r="D115" s="391"/>
      <c r="E115" s="278" t="s">
        <v>81</v>
      </c>
      <c r="F115" s="261"/>
      <c r="G115" s="261"/>
      <c r="H115" s="261">
        <f t="shared" si="11"/>
        <v>0</v>
      </c>
      <c r="I115" s="108"/>
      <c r="J115" s="108"/>
      <c r="K115" s="108"/>
      <c r="L115" s="108"/>
    </row>
    <row r="116" spans="1:12" s="26" customFormat="1" ht="16.5" customHeight="1" x14ac:dyDescent="0.2">
      <c r="A116" s="262"/>
      <c r="B116" s="391"/>
      <c r="C116" s="391"/>
      <c r="D116" s="391"/>
      <c r="E116" s="296" t="s">
        <v>82</v>
      </c>
      <c r="F116" s="261"/>
      <c r="G116" s="261"/>
      <c r="H116" s="261">
        <f t="shared" si="11"/>
        <v>0</v>
      </c>
      <c r="I116" s="108"/>
      <c r="J116" s="108"/>
      <c r="K116" s="108"/>
      <c r="L116" s="108"/>
    </row>
    <row r="117" spans="1:12" s="26" customFormat="1" ht="15" customHeight="1" x14ac:dyDescent="0.2">
      <c r="A117" s="262"/>
      <c r="B117" s="391"/>
      <c r="C117" s="391"/>
      <c r="D117" s="391"/>
      <c r="E117" s="392" t="s">
        <v>226</v>
      </c>
      <c r="F117" s="261">
        <f>F118+F119</f>
        <v>0</v>
      </c>
      <c r="G117" s="261"/>
      <c r="H117" s="261">
        <f t="shared" si="11"/>
        <v>0</v>
      </c>
      <c r="I117" s="108"/>
      <c r="J117" s="108"/>
      <c r="K117" s="108"/>
      <c r="L117" s="108"/>
    </row>
    <row r="118" spans="1:12" s="26" customFormat="1" ht="15" customHeight="1" x14ac:dyDescent="0.2">
      <c r="A118" s="262"/>
      <c r="B118" s="391"/>
      <c r="C118" s="391"/>
      <c r="D118" s="391"/>
      <c r="E118" s="278" t="s">
        <v>81</v>
      </c>
      <c r="F118" s="261"/>
      <c r="G118" s="261"/>
      <c r="H118" s="261">
        <f t="shared" si="11"/>
        <v>0</v>
      </c>
      <c r="I118" s="108"/>
      <c r="J118" s="108"/>
      <c r="K118" s="108"/>
      <c r="L118" s="108"/>
    </row>
    <row r="119" spans="1:12" s="26" customFormat="1" ht="15" customHeight="1" x14ac:dyDescent="0.2">
      <c r="A119" s="262"/>
      <c r="B119" s="391"/>
      <c r="C119" s="391"/>
      <c r="D119" s="391"/>
      <c r="E119" s="296" t="s">
        <v>82</v>
      </c>
      <c r="F119" s="261"/>
      <c r="G119" s="261"/>
      <c r="H119" s="261">
        <f t="shared" si="11"/>
        <v>0</v>
      </c>
      <c r="I119" s="108"/>
      <c r="J119" s="108"/>
      <c r="K119" s="108"/>
      <c r="L119" s="108"/>
    </row>
    <row r="120" spans="1:12" ht="14.25" customHeight="1" x14ac:dyDescent="0.2">
      <c r="A120" s="962" t="s">
        <v>130</v>
      </c>
      <c r="B120" s="962"/>
      <c r="C120" s="962"/>
      <c r="D120" s="962"/>
      <c r="E120" s="962"/>
      <c r="F120" s="320">
        <f>F123</f>
        <v>0</v>
      </c>
      <c r="G120" s="320">
        <f>G123</f>
        <v>0</v>
      </c>
      <c r="H120" s="335">
        <f t="shared" si="11"/>
        <v>0</v>
      </c>
      <c r="I120" s="112"/>
      <c r="J120" s="106"/>
      <c r="K120" s="106"/>
      <c r="L120" s="106"/>
    </row>
    <row r="121" spans="1:12" ht="14.25" customHeight="1" x14ac:dyDescent="0.2">
      <c r="A121" s="567"/>
      <c r="B121" s="567"/>
      <c r="C121" s="567"/>
      <c r="D121" s="567"/>
      <c r="E121" s="322" t="s">
        <v>81</v>
      </c>
      <c r="F121" s="320">
        <f t="shared" ref="F121:G122" si="12">F124</f>
        <v>0</v>
      </c>
      <c r="G121" s="320">
        <f t="shared" si="12"/>
        <v>0</v>
      </c>
      <c r="H121" s="335"/>
      <c r="I121" s="112"/>
      <c r="J121" s="106"/>
      <c r="K121" s="106"/>
      <c r="L121" s="106"/>
    </row>
    <row r="122" spans="1:12" ht="14.25" customHeight="1" x14ac:dyDescent="0.2">
      <c r="A122" s="567"/>
      <c r="B122" s="567"/>
      <c r="C122" s="567"/>
      <c r="D122" s="567"/>
      <c r="E122" s="323" t="s">
        <v>82</v>
      </c>
      <c r="F122" s="320">
        <f t="shared" si="12"/>
        <v>0</v>
      </c>
      <c r="G122" s="320">
        <f t="shared" si="12"/>
        <v>0</v>
      </c>
      <c r="H122" s="335"/>
      <c r="I122" s="112"/>
      <c r="J122" s="106"/>
      <c r="K122" s="106"/>
      <c r="L122" s="106"/>
    </row>
    <row r="123" spans="1:12" ht="14.25" customHeight="1" x14ac:dyDescent="0.2">
      <c r="A123" s="730"/>
      <c r="B123" s="336">
        <v>1</v>
      </c>
      <c r="C123" s="336" t="s">
        <v>188</v>
      </c>
      <c r="D123" s="336" t="s">
        <v>70</v>
      </c>
      <c r="E123" s="337" t="s">
        <v>207</v>
      </c>
      <c r="F123" s="338">
        <f>F124+F125</f>
        <v>0</v>
      </c>
      <c r="G123" s="338">
        <f>G124+G125</f>
        <v>0</v>
      </c>
      <c r="H123" s="330">
        <f>F123+G123</f>
        <v>0</v>
      </c>
      <c r="I123" s="106"/>
      <c r="J123" s="106"/>
      <c r="K123" s="106"/>
      <c r="L123" s="106"/>
    </row>
    <row r="124" spans="1:12" ht="14.25" customHeight="1" x14ac:dyDescent="0.2">
      <c r="A124" s="730"/>
      <c r="B124" s="336"/>
      <c r="C124" s="336"/>
      <c r="D124" s="336"/>
      <c r="E124" s="331" t="s">
        <v>81</v>
      </c>
      <c r="F124" s="338">
        <f>F127+F130+F133</f>
        <v>0</v>
      </c>
      <c r="G124" s="338">
        <f>G127+G130+G133</f>
        <v>0</v>
      </c>
      <c r="H124" s="330">
        <f t="shared" ref="H124:H125" si="13">F124+G124</f>
        <v>0</v>
      </c>
      <c r="I124" s="106"/>
      <c r="J124" s="106"/>
      <c r="K124" s="106"/>
      <c r="L124" s="106"/>
    </row>
    <row r="125" spans="1:12" ht="14.25" customHeight="1" x14ac:dyDescent="0.2">
      <c r="A125" s="730"/>
      <c r="B125" s="336"/>
      <c r="C125" s="336"/>
      <c r="D125" s="336"/>
      <c r="E125" s="332" t="s">
        <v>82</v>
      </c>
      <c r="F125" s="338">
        <f>F128+F131+F134</f>
        <v>0</v>
      </c>
      <c r="G125" s="338">
        <f>G128+G131+G134</f>
        <v>0</v>
      </c>
      <c r="H125" s="330">
        <f t="shared" si="13"/>
        <v>0</v>
      </c>
      <c r="I125" s="106"/>
      <c r="J125" s="106"/>
      <c r="K125" s="106"/>
      <c r="L125" s="106"/>
    </row>
    <row r="126" spans="1:12" ht="14.25" customHeight="1" x14ac:dyDescent="0.2">
      <c r="A126" s="262"/>
      <c r="B126" s="361"/>
      <c r="C126" s="361"/>
      <c r="D126" s="361"/>
      <c r="E126" s="392" t="s">
        <v>248</v>
      </c>
      <c r="F126" s="339">
        <f>F127+F128</f>
        <v>0</v>
      </c>
      <c r="G126" s="339">
        <f>G127+G128</f>
        <v>0</v>
      </c>
      <c r="H126" s="261">
        <f>F126+G126</f>
        <v>0</v>
      </c>
      <c r="I126" s="106"/>
      <c r="J126" s="106"/>
      <c r="K126" s="106"/>
      <c r="L126" s="106"/>
    </row>
    <row r="127" spans="1:12" ht="14.25" customHeight="1" x14ac:dyDescent="0.2">
      <c r="A127" s="262"/>
      <c r="B127" s="361"/>
      <c r="C127" s="361"/>
      <c r="D127" s="361"/>
      <c r="E127" s="278" t="s">
        <v>81</v>
      </c>
      <c r="F127" s="339"/>
      <c r="G127" s="261"/>
      <c r="H127" s="261">
        <f t="shared" ref="H127:H134" si="14">F127+G127</f>
        <v>0</v>
      </c>
      <c r="I127" s="106"/>
      <c r="J127" s="106"/>
      <c r="K127" s="106"/>
      <c r="L127" s="106"/>
    </row>
    <row r="128" spans="1:12" ht="14.25" customHeight="1" x14ac:dyDescent="0.2">
      <c r="A128" s="262"/>
      <c r="B128" s="361"/>
      <c r="C128" s="361"/>
      <c r="D128" s="361"/>
      <c r="E128" s="296" t="s">
        <v>82</v>
      </c>
      <c r="F128" s="339"/>
      <c r="G128" s="261"/>
      <c r="H128" s="261">
        <f t="shared" si="14"/>
        <v>0</v>
      </c>
      <c r="I128" s="106"/>
      <c r="J128" s="106"/>
      <c r="K128" s="106"/>
      <c r="L128" s="106"/>
    </row>
    <row r="129" spans="1:12" ht="14.25" customHeight="1" x14ac:dyDescent="0.2">
      <c r="A129" s="262"/>
      <c r="B129" s="361"/>
      <c r="C129" s="361"/>
      <c r="D129" s="361"/>
      <c r="E129" s="392" t="s">
        <v>225</v>
      </c>
      <c r="F129" s="339"/>
      <c r="G129" s="261"/>
      <c r="H129" s="261">
        <f t="shared" si="14"/>
        <v>0</v>
      </c>
      <c r="I129" s="106"/>
      <c r="J129" s="106"/>
      <c r="K129" s="106"/>
      <c r="L129" s="106"/>
    </row>
    <row r="130" spans="1:12" ht="14.25" customHeight="1" x14ac:dyDescent="0.2">
      <c r="A130" s="262"/>
      <c r="B130" s="361"/>
      <c r="C130" s="361"/>
      <c r="D130" s="361"/>
      <c r="E130" s="278" t="s">
        <v>81</v>
      </c>
      <c r="F130" s="339"/>
      <c r="G130" s="261"/>
      <c r="H130" s="261">
        <f t="shared" si="14"/>
        <v>0</v>
      </c>
      <c r="I130" s="106"/>
      <c r="J130" s="106"/>
      <c r="K130" s="106"/>
      <c r="L130" s="106"/>
    </row>
    <row r="131" spans="1:12" ht="14.25" customHeight="1" x14ac:dyDescent="0.2">
      <c r="A131" s="262"/>
      <c r="B131" s="361"/>
      <c r="C131" s="361"/>
      <c r="D131" s="361"/>
      <c r="E131" s="296" t="s">
        <v>82</v>
      </c>
      <c r="F131" s="339"/>
      <c r="G131" s="261"/>
      <c r="H131" s="261">
        <f t="shared" si="14"/>
        <v>0</v>
      </c>
      <c r="I131" s="106"/>
      <c r="J131" s="106"/>
      <c r="K131" s="106"/>
      <c r="L131" s="106"/>
    </row>
    <row r="132" spans="1:12" ht="14.25" customHeight="1" x14ac:dyDescent="0.2">
      <c r="A132" s="262"/>
      <c r="B132" s="361"/>
      <c r="C132" s="361"/>
      <c r="D132" s="361"/>
      <c r="E132" s="392" t="s">
        <v>226</v>
      </c>
      <c r="F132" s="339"/>
      <c r="G132" s="261"/>
      <c r="H132" s="261">
        <f t="shared" si="14"/>
        <v>0</v>
      </c>
      <c r="I132" s="106"/>
      <c r="J132" s="106"/>
      <c r="K132" s="106"/>
      <c r="L132" s="106"/>
    </row>
    <row r="133" spans="1:12" ht="14.25" customHeight="1" x14ac:dyDescent="0.2">
      <c r="A133" s="262"/>
      <c r="B133" s="361"/>
      <c r="C133" s="361"/>
      <c r="D133" s="361"/>
      <c r="E133" s="278" t="s">
        <v>81</v>
      </c>
      <c r="F133" s="339"/>
      <c r="G133" s="261"/>
      <c r="H133" s="261">
        <f t="shared" si="14"/>
        <v>0</v>
      </c>
      <c r="I133" s="106"/>
      <c r="J133" s="106"/>
      <c r="K133" s="106"/>
      <c r="L133" s="106"/>
    </row>
    <row r="134" spans="1:12" ht="14.25" customHeight="1" x14ac:dyDescent="0.2">
      <c r="A134" s="262"/>
      <c r="B134" s="361"/>
      <c r="C134" s="361"/>
      <c r="D134" s="361"/>
      <c r="E134" s="296" t="s">
        <v>82</v>
      </c>
      <c r="F134" s="339"/>
      <c r="G134" s="261"/>
      <c r="H134" s="261">
        <f t="shared" si="14"/>
        <v>0</v>
      </c>
      <c r="I134" s="106"/>
      <c r="J134" s="106"/>
      <c r="K134" s="106"/>
      <c r="L134" s="106"/>
    </row>
    <row r="135" spans="1:12" s="26" customFormat="1" ht="15" customHeight="1" x14ac:dyDescent="0.2">
      <c r="A135" s="962" t="s">
        <v>133</v>
      </c>
      <c r="B135" s="962"/>
      <c r="C135" s="962"/>
      <c r="D135" s="962"/>
      <c r="E135" s="962"/>
      <c r="F135" s="320">
        <f>F136+F137</f>
        <v>140906</v>
      </c>
      <c r="G135" s="320">
        <f>G136+G137</f>
        <v>0</v>
      </c>
      <c r="H135" s="335">
        <f>F135+G135</f>
        <v>140906</v>
      </c>
      <c r="I135" s="108"/>
      <c r="J135" s="108"/>
      <c r="K135" s="108"/>
      <c r="L135" s="108"/>
    </row>
    <row r="136" spans="1:12" s="26" customFormat="1" ht="15" customHeight="1" x14ac:dyDescent="0.2">
      <c r="A136" s="567"/>
      <c r="B136" s="567"/>
      <c r="C136" s="567"/>
      <c r="D136" s="567"/>
      <c r="E136" s="322" t="s">
        <v>81</v>
      </c>
      <c r="F136" s="320">
        <f>F142+F148+F145</f>
        <v>140906</v>
      </c>
      <c r="G136" s="320">
        <f>G142+G145+G148</f>
        <v>0</v>
      </c>
      <c r="H136" s="335">
        <f t="shared" ref="H136:H137" si="15">F136+G136</f>
        <v>140906</v>
      </c>
      <c r="I136" s="108"/>
      <c r="J136" s="108"/>
      <c r="K136" s="108"/>
      <c r="L136" s="108"/>
    </row>
    <row r="137" spans="1:12" s="26" customFormat="1" ht="15" customHeight="1" x14ac:dyDescent="0.2">
      <c r="A137" s="567"/>
      <c r="B137" s="567"/>
      <c r="C137" s="567"/>
      <c r="D137" s="567"/>
      <c r="E137" s="323" t="s">
        <v>82</v>
      </c>
      <c r="F137" s="320">
        <f>F143+F146+F149</f>
        <v>0</v>
      </c>
      <c r="G137" s="320">
        <f>G143+G146+G149</f>
        <v>0</v>
      </c>
      <c r="H137" s="335">
        <f t="shared" si="15"/>
        <v>0</v>
      </c>
      <c r="I137" s="108"/>
      <c r="J137" s="108"/>
      <c r="K137" s="108"/>
      <c r="L137" s="108"/>
    </row>
    <row r="138" spans="1:12" s="26" customFormat="1" ht="15" customHeight="1" x14ac:dyDescent="0.2">
      <c r="A138" s="730"/>
      <c r="B138" s="336" t="s">
        <v>15</v>
      </c>
      <c r="C138" s="336" t="s">
        <v>162</v>
      </c>
      <c r="D138" s="336"/>
      <c r="E138" s="340" t="s">
        <v>252</v>
      </c>
      <c r="F138" s="330">
        <f>F139+F140</f>
        <v>140906</v>
      </c>
      <c r="G138" s="330">
        <f>G139+G140</f>
        <v>0</v>
      </c>
      <c r="H138" s="330">
        <f t="shared" si="11"/>
        <v>140906</v>
      </c>
      <c r="I138" s="108"/>
      <c r="J138" s="108"/>
      <c r="K138" s="108"/>
      <c r="L138" s="108"/>
    </row>
    <row r="139" spans="1:12" ht="15" customHeight="1" x14ac:dyDescent="0.2">
      <c r="A139" s="730"/>
      <c r="B139" s="336"/>
      <c r="C139" s="336"/>
      <c r="D139" s="336"/>
      <c r="E139" s="331" t="s">
        <v>81</v>
      </c>
      <c r="F139" s="330">
        <f>F142+F148+F145</f>
        <v>140906</v>
      </c>
      <c r="G139" s="330">
        <f>G142+G145+G148</f>
        <v>0</v>
      </c>
      <c r="H139" s="330">
        <f t="shared" si="11"/>
        <v>140906</v>
      </c>
      <c r="I139" s="106"/>
      <c r="J139" s="106"/>
      <c r="K139" s="106"/>
      <c r="L139" s="106"/>
    </row>
    <row r="140" spans="1:12" ht="15" customHeight="1" x14ac:dyDescent="0.2">
      <c r="A140" s="730"/>
      <c r="B140" s="336"/>
      <c r="C140" s="336"/>
      <c r="D140" s="336"/>
      <c r="E140" s="332" t="s">
        <v>82</v>
      </c>
      <c r="F140" s="330">
        <f>F143+F146+F149</f>
        <v>0</v>
      </c>
      <c r="G140" s="330">
        <f>G143+G146+G149</f>
        <v>0</v>
      </c>
      <c r="H140" s="330">
        <f t="shared" si="11"/>
        <v>0</v>
      </c>
      <c r="I140" s="106"/>
      <c r="J140" s="106"/>
      <c r="K140" s="106"/>
      <c r="L140" s="106"/>
    </row>
    <row r="141" spans="1:12" ht="15" customHeight="1" x14ac:dyDescent="0.2">
      <c r="A141" s="262"/>
      <c r="B141" s="361"/>
      <c r="C141" s="361"/>
      <c r="D141" s="361"/>
      <c r="E141" s="392" t="s">
        <v>248</v>
      </c>
      <c r="F141" s="261">
        <f>F142+F143</f>
        <v>53307</v>
      </c>
      <c r="G141" s="261">
        <f>G142+G143</f>
        <v>0</v>
      </c>
      <c r="H141" s="261">
        <f t="shared" si="11"/>
        <v>53307</v>
      </c>
      <c r="I141" s="106"/>
      <c r="J141" s="106"/>
      <c r="K141" s="106"/>
      <c r="L141" s="106"/>
    </row>
    <row r="142" spans="1:12" ht="15" customHeight="1" x14ac:dyDescent="0.2">
      <c r="A142" s="262"/>
      <c r="B142" s="361"/>
      <c r="C142" s="361"/>
      <c r="D142" s="361"/>
      <c r="E142" s="278" t="s">
        <v>81</v>
      </c>
      <c r="F142" s="261">
        <v>53307</v>
      </c>
      <c r="G142" s="261"/>
      <c r="H142" s="261">
        <f t="shared" si="11"/>
        <v>53307</v>
      </c>
      <c r="I142" s="106"/>
      <c r="J142" s="106"/>
      <c r="K142" s="106"/>
      <c r="L142" s="106"/>
    </row>
    <row r="143" spans="1:12" ht="15" customHeight="1" x14ac:dyDescent="0.2">
      <c r="A143" s="262"/>
      <c r="B143" s="361"/>
      <c r="C143" s="361"/>
      <c r="D143" s="361"/>
      <c r="E143" s="296" t="s">
        <v>82</v>
      </c>
      <c r="F143" s="261"/>
      <c r="G143" s="261"/>
      <c r="H143" s="261">
        <f t="shared" si="11"/>
        <v>0</v>
      </c>
      <c r="I143" s="106"/>
      <c r="J143" s="106"/>
      <c r="K143" s="106"/>
      <c r="L143" s="106"/>
    </row>
    <row r="144" spans="1:12" ht="15" customHeight="1" x14ac:dyDescent="0.2">
      <c r="A144" s="262"/>
      <c r="B144" s="361"/>
      <c r="C144" s="361"/>
      <c r="D144" s="361"/>
      <c r="E144" s="392" t="s">
        <v>225</v>
      </c>
      <c r="F144" s="261">
        <f>F145+F146</f>
        <v>87599</v>
      </c>
      <c r="G144" s="261"/>
      <c r="H144" s="261">
        <f t="shared" si="11"/>
        <v>87599</v>
      </c>
      <c r="I144" s="106"/>
      <c r="J144" s="106"/>
      <c r="K144" s="106"/>
      <c r="L144" s="106"/>
    </row>
    <row r="145" spans="1:12" ht="15" customHeight="1" x14ac:dyDescent="0.2">
      <c r="A145" s="262"/>
      <c r="B145" s="361"/>
      <c r="C145" s="361"/>
      <c r="D145" s="361"/>
      <c r="E145" s="278" t="s">
        <v>81</v>
      </c>
      <c r="F145" s="261">
        <v>87599</v>
      </c>
      <c r="H145" s="261">
        <f>F145+G145</f>
        <v>87599</v>
      </c>
      <c r="I145" s="106"/>
      <c r="J145" s="106"/>
      <c r="K145" s="106"/>
      <c r="L145" s="106"/>
    </row>
    <row r="146" spans="1:12" ht="15" customHeight="1" x14ac:dyDescent="0.2">
      <c r="A146" s="262"/>
      <c r="B146" s="361"/>
      <c r="C146" s="361"/>
      <c r="D146" s="361"/>
      <c r="E146" s="296" t="s">
        <v>82</v>
      </c>
      <c r="F146" s="261"/>
      <c r="G146" s="261"/>
      <c r="H146" s="261">
        <f t="shared" si="11"/>
        <v>0</v>
      </c>
      <c r="I146" s="106"/>
      <c r="J146" s="106"/>
      <c r="K146" s="106"/>
      <c r="L146" s="106"/>
    </row>
    <row r="147" spans="1:12" ht="15" customHeight="1" x14ac:dyDescent="0.2">
      <c r="A147" s="262"/>
      <c r="B147" s="361"/>
      <c r="C147" s="361"/>
      <c r="D147" s="361"/>
      <c r="E147" s="392" t="s">
        <v>226</v>
      </c>
      <c r="F147" s="261">
        <f>F148+F149</f>
        <v>0</v>
      </c>
      <c r="G147" s="261">
        <f>G148+G149</f>
        <v>0</v>
      </c>
      <c r="H147" s="261">
        <f t="shared" si="11"/>
        <v>0</v>
      </c>
      <c r="I147" s="106"/>
      <c r="J147" s="106"/>
      <c r="K147" s="106"/>
      <c r="L147" s="106"/>
    </row>
    <row r="148" spans="1:12" ht="15" customHeight="1" x14ac:dyDescent="0.2">
      <c r="A148" s="262"/>
      <c r="B148" s="361"/>
      <c r="C148" s="361"/>
      <c r="D148" s="361"/>
      <c r="E148" s="278" t="s">
        <v>81</v>
      </c>
      <c r="F148" s="261"/>
      <c r="G148" s="261"/>
      <c r="H148" s="261">
        <f t="shared" si="11"/>
        <v>0</v>
      </c>
      <c r="I148" s="106"/>
      <c r="J148" s="106"/>
      <c r="K148" s="106"/>
      <c r="L148" s="106"/>
    </row>
    <row r="149" spans="1:12" ht="15" customHeight="1" x14ac:dyDescent="0.2">
      <c r="A149" s="262"/>
      <c r="B149" s="361"/>
      <c r="C149" s="361"/>
      <c r="D149" s="361"/>
      <c r="E149" s="296" t="s">
        <v>82</v>
      </c>
      <c r="F149" s="261"/>
      <c r="G149" s="261"/>
      <c r="H149" s="261">
        <f t="shared" si="11"/>
        <v>0</v>
      </c>
      <c r="I149" s="106"/>
      <c r="J149" s="106"/>
      <c r="K149" s="106"/>
      <c r="L149" s="106"/>
    </row>
    <row r="150" spans="1:12" s="11" customFormat="1" ht="16.5" customHeight="1" x14ac:dyDescent="0.2">
      <c r="A150" s="341" t="s">
        <v>105</v>
      </c>
      <c r="B150" s="341"/>
      <c r="C150" s="342"/>
      <c r="D150" s="343"/>
      <c r="E150" s="344" t="s">
        <v>85</v>
      </c>
      <c r="F150" s="343">
        <f>F151+F152</f>
        <v>14171953</v>
      </c>
      <c r="G150" s="343">
        <f t="shared" ref="G150:G152" si="16">G21+G120+G135</f>
        <v>0</v>
      </c>
      <c r="H150" s="335">
        <f>F150+G150</f>
        <v>14171953</v>
      </c>
      <c r="I150" s="107"/>
      <c r="J150" s="107"/>
      <c r="K150" s="107"/>
      <c r="L150" s="107"/>
    </row>
    <row r="151" spans="1:12" s="11" customFormat="1" ht="16.5" customHeight="1" x14ac:dyDescent="0.2">
      <c r="A151" s="341"/>
      <c r="B151" s="341"/>
      <c r="C151" s="342"/>
      <c r="D151" s="345"/>
      <c r="E151" s="322" t="s">
        <v>81</v>
      </c>
      <c r="F151" s="343">
        <f>F22+F121+F136+F9</f>
        <v>12266953</v>
      </c>
      <c r="G151" s="343">
        <f t="shared" si="16"/>
        <v>0</v>
      </c>
      <c r="H151" s="335">
        <f t="shared" ref="H151:H152" si="17">F151+G151</f>
        <v>12266953</v>
      </c>
      <c r="I151" s="107"/>
      <c r="J151" s="107"/>
      <c r="K151" s="107"/>
      <c r="L151" s="107"/>
    </row>
    <row r="152" spans="1:12" s="12" customFormat="1" ht="12" customHeight="1" x14ac:dyDescent="0.2">
      <c r="A152" s="346"/>
      <c r="B152" s="346"/>
      <c r="C152" s="347"/>
      <c r="D152" s="346"/>
      <c r="E152" s="323" t="s">
        <v>82</v>
      </c>
      <c r="F152" s="343">
        <f>F23+F122+F137+F10</f>
        <v>1905000</v>
      </c>
      <c r="G152" s="343">
        <f t="shared" si="16"/>
        <v>0</v>
      </c>
      <c r="H152" s="335">
        <f t="shared" si="17"/>
        <v>1905000</v>
      </c>
      <c r="I152" s="109"/>
      <c r="J152" s="109"/>
      <c r="K152" s="109"/>
      <c r="L152" s="109"/>
    </row>
    <row r="153" spans="1:12" s="12" customFormat="1" ht="12" customHeight="1" x14ac:dyDescent="0.2">
      <c r="A153" s="348"/>
      <c r="B153" s="348"/>
      <c r="C153" s="391"/>
      <c r="D153" s="348"/>
      <c r="E153" s="349" t="s">
        <v>279</v>
      </c>
      <c r="F153" s="350"/>
      <c r="G153" s="350"/>
      <c r="H153" s="261"/>
      <c r="I153" s="109"/>
      <c r="J153" s="109"/>
      <c r="K153" s="109"/>
      <c r="L153" s="109"/>
    </row>
    <row r="154" spans="1:12" s="12" customFormat="1" ht="14.25" customHeight="1" x14ac:dyDescent="0.2">
      <c r="A154" s="964" t="s">
        <v>165</v>
      </c>
      <c r="B154" s="964"/>
      <c r="C154" s="964"/>
      <c r="D154" s="964"/>
      <c r="E154" s="964"/>
      <c r="F154" s="339">
        <f>F156+F188+F189+F190+F191+F192</f>
        <v>269019204</v>
      </c>
      <c r="G154" s="339"/>
      <c r="H154" s="339">
        <f>H156+H188+H189+H190+H191+H192</f>
        <v>269019204</v>
      </c>
      <c r="I154" s="109"/>
      <c r="J154" s="109"/>
      <c r="K154" s="109"/>
      <c r="L154" s="109"/>
    </row>
    <row r="155" spans="1:12" s="12" customFormat="1" ht="14.25" customHeight="1" x14ac:dyDescent="0.2">
      <c r="A155" s="348"/>
      <c r="B155" s="348"/>
      <c r="C155" s="391"/>
      <c r="D155" s="348"/>
      <c r="E155" s="351"/>
      <c r="F155" s="569"/>
      <c r="G155" s="569"/>
      <c r="H155" s="569"/>
      <c r="I155" s="109"/>
      <c r="J155" s="109"/>
      <c r="K155" s="109"/>
      <c r="L155" s="109"/>
    </row>
    <row r="156" spans="1:12" ht="17.25" customHeight="1" x14ac:dyDescent="0.2">
      <c r="A156" s="963" t="s">
        <v>171</v>
      </c>
      <c r="B156" s="963"/>
      <c r="C156" s="963"/>
      <c r="D156" s="963"/>
      <c r="E156" s="963"/>
      <c r="F156" s="339">
        <f>F171+F168+F157+F180+F183+F187</f>
        <v>222092034</v>
      </c>
      <c r="G156" s="339"/>
      <c r="H156" s="339">
        <f>H171+H168+H157+H181+H183+H187+H182</f>
        <v>222092034</v>
      </c>
      <c r="I156" s="106"/>
      <c r="J156" s="106"/>
      <c r="K156" s="106"/>
      <c r="L156" s="106"/>
    </row>
    <row r="157" spans="1:12" s="11" customFormat="1" ht="12.75" customHeight="1" x14ac:dyDescent="0.2">
      <c r="A157" s="385"/>
      <c r="B157" s="262">
        <v>1</v>
      </c>
      <c r="C157" s="348" t="s">
        <v>106</v>
      </c>
      <c r="D157" s="325" t="s">
        <v>70</v>
      </c>
      <c r="E157" s="352" t="s">
        <v>91</v>
      </c>
      <c r="F157" s="339">
        <f>SUM(F158:F167)</f>
        <v>90733481</v>
      </c>
      <c r="G157" s="339"/>
      <c r="H157" s="339">
        <f t="shared" ref="H157:H183" si="18">G157+F157</f>
        <v>90733481</v>
      </c>
      <c r="I157" s="107"/>
      <c r="J157" s="110"/>
      <c r="K157" s="107"/>
      <c r="L157" s="107"/>
    </row>
    <row r="158" spans="1:12" s="26" customFormat="1" ht="12.75" customHeight="1" x14ac:dyDescent="0.2">
      <c r="A158" s="385"/>
      <c r="B158" s="353"/>
      <c r="C158" s="354"/>
      <c r="D158" s="354"/>
      <c r="E158" s="355" t="s">
        <v>212</v>
      </c>
      <c r="F158" s="356">
        <v>28899800</v>
      </c>
      <c r="G158" s="356"/>
      <c r="H158" s="356">
        <f>F158</f>
        <v>28899800</v>
      </c>
      <c r="I158" s="108"/>
      <c r="J158" s="108"/>
      <c r="K158" s="108"/>
      <c r="L158" s="108"/>
    </row>
    <row r="159" spans="1:12" s="26" customFormat="1" ht="12.75" customHeight="1" x14ac:dyDescent="0.2">
      <c r="A159" s="385"/>
      <c r="B159" s="353"/>
      <c r="C159" s="354"/>
      <c r="D159" s="354"/>
      <c r="E159" s="355" t="s">
        <v>213</v>
      </c>
      <c r="F159" s="356">
        <v>3851210</v>
      </c>
      <c r="G159" s="356"/>
      <c r="H159" s="356">
        <f t="shared" ref="H159:H167" si="19">F159</f>
        <v>3851210</v>
      </c>
      <c r="I159" s="108"/>
      <c r="J159" s="108"/>
      <c r="K159" s="108"/>
      <c r="L159" s="108"/>
    </row>
    <row r="160" spans="1:12" s="26" customFormat="1" ht="12.75" customHeight="1" x14ac:dyDescent="0.2">
      <c r="A160" s="385"/>
      <c r="B160" s="353"/>
      <c r="C160" s="354"/>
      <c r="D160" s="354"/>
      <c r="E160" s="355" t="s">
        <v>214</v>
      </c>
      <c r="F160" s="356">
        <v>20288000</v>
      </c>
      <c r="G160" s="356"/>
      <c r="H160" s="356">
        <f t="shared" si="19"/>
        <v>20288000</v>
      </c>
      <c r="I160" s="108"/>
      <c r="J160" s="108"/>
      <c r="K160" s="108"/>
      <c r="L160" s="108"/>
    </row>
    <row r="161" spans="1:12" s="26" customFormat="1" ht="12.75" customHeight="1" x14ac:dyDescent="0.2">
      <c r="A161" s="385"/>
      <c r="B161" s="353"/>
      <c r="C161" s="354"/>
      <c r="D161" s="354"/>
      <c r="E161" s="355" t="s">
        <v>215</v>
      </c>
      <c r="F161" s="356">
        <v>100000</v>
      </c>
      <c r="G161" s="356"/>
      <c r="H161" s="356">
        <f t="shared" si="19"/>
        <v>100000</v>
      </c>
      <c r="I161" s="108"/>
      <c r="J161" s="108"/>
      <c r="K161" s="108"/>
      <c r="L161" s="108"/>
    </row>
    <row r="162" spans="1:12" s="26" customFormat="1" ht="12.75" customHeight="1" x14ac:dyDescent="0.2">
      <c r="A162" s="385"/>
      <c r="B162" s="353"/>
      <c r="C162" s="354"/>
      <c r="D162" s="354"/>
      <c r="E162" s="355" t="s">
        <v>216</v>
      </c>
      <c r="F162" s="356">
        <v>3325550</v>
      </c>
      <c r="G162" s="356"/>
      <c r="H162" s="356">
        <f t="shared" si="19"/>
        <v>3325550</v>
      </c>
      <c r="I162" s="108"/>
      <c r="J162" s="108"/>
      <c r="K162" s="108"/>
      <c r="L162" s="108"/>
    </row>
    <row r="163" spans="1:12" s="26" customFormat="1" ht="12.75" customHeight="1" x14ac:dyDescent="0.2">
      <c r="A163" s="385"/>
      <c r="B163" s="353"/>
      <c r="C163" s="354"/>
      <c r="D163" s="354"/>
      <c r="E163" s="355" t="s">
        <v>217</v>
      </c>
      <c r="F163" s="356">
        <v>6000000</v>
      </c>
      <c r="G163" s="356"/>
      <c r="H163" s="356">
        <f t="shared" si="19"/>
        <v>6000000</v>
      </c>
      <c r="I163" s="108"/>
      <c r="J163" s="108"/>
      <c r="K163" s="108"/>
      <c r="L163" s="108"/>
    </row>
    <row r="164" spans="1:12" s="26" customFormat="1" ht="12.75" customHeight="1" x14ac:dyDescent="0.2">
      <c r="A164" s="385"/>
      <c r="B164" s="353"/>
      <c r="C164" s="354"/>
      <c r="D164" s="354"/>
      <c r="E164" s="355" t="s">
        <v>218</v>
      </c>
      <c r="F164" s="356">
        <v>1208700</v>
      </c>
      <c r="G164" s="356"/>
      <c r="H164" s="356">
        <f t="shared" si="19"/>
        <v>1208700</v>
      </c>
      <c r="I164" s="108"/>
      <c r="J164" s="108"/>
      <c r="K164" s="108"/>
      <c r="L164" s="108"/>
    </row>
    <row r="165" spans="1:12" s="26" customFormat="1" ht="12.75" customHeight="1" x14ac:dyDescent="0.2">
      <c r="A165" s="385"/>
      <c r="B165" s="353"/>
      <c r="C165" s="354"/>
      <c r="D165" s="354"/>
      <c r="E165" s="355" t="s">
        <v>321</v>
      </c>
      <c r="F165" s="356">
        <v>18995821</v>
      </c>
      <c r="G165" s="356"/>
      <c r="H165" s="356">
        <f t="shared" si="19"/>
        <v>18995821</v>
      </c>
      <c r="I165" s="108"/>
      <c r="J165" s="108"/>
      <c r="K165" s="108"/>
      <c r="L165" s="108"/>
    </row>
    <row r="166" spans="1:12" s="26" customFormat="1" ht="12.75" customHeight="1" x14ac:dyDescent="0.2">
      <c r="A166" s="385"/>
      <c r="B166" s="353"/>
      <c r="C166" s="354"/>
      <c r="D166" s="354"/>
      <c r="E166" s="355" t="s">
        <v>290</v>
      </c>
      <c r="F166" s="356">
        <v>972400</v>
      </c>
      <c r="G166" s="356"/>
      <c r="H166" s="356">
        <f t="shared" si="19"/>
        <v>972400</v>
      </c>
      <c r="I166" s="108"/>
      <c r="J166" s="108"/>
      <c r="K166" s="108"/>
      <c r="L166" s="108"/>
    </row>
    <row r="167" spans="1:12" s="26" customFormat="1" ht="12.75" customHeight="1" x14ac:dyDescent="0.2">
      <c r="A167" s="385"/>
      <c r="B167" s="353"/>
      <c r="C167" s="354"/>
      <c r="D167" s="354"/>
      <c r="E167" s="355" t="s">
        <v>395</v>
      </c>
      <c r="F167" s="356">
        <v>7092000</v>
      </c>
      <c r="G167" s="356"/>
      <c r="H167" s="356">
        <f t="shared" si="19"/>
        <v>7092000</v>
      </c>
      <c r="I167" s="108"/>
      <c r="J167" s="108"/>
      <c r="K167" s="108"/>
      <c r="L167" s="108"/>
    </row>
    <row r="168" spans="1:12" s="11" customFormat="1" ht="12.75" customHeight="1" x14ac:dyDescent="0.2">
      <c r="A168" s="385"/>
      <c r="B168" s="262">
        <v>2</v>
      </c>
      <c r="C168" s="348" t="s">
        <v>107</v>
      </c>
      <c r="D168" s="325" t="s">
        <v>70</v>
      </c>
      <c r="E168" s="352" t="s">
        <v>108</v>
      </c>
      <c r="F168" s="339">
        <f>F169+F170</f>
        <v>54519116</v>
      </c>
      <c r="G168" s="339"/>
      <c r="H168" s="339">
        <f t="shared" si="18"/>
        <v>54519116</v>
      </c>
      <c r="I168" s="107"/>
      <c r="J168" s="107"/>
      <c r="K168" s="107"/>
      <c r="L168" s="107"/>
    </row>
    <row r="169" spans="1:12" s="26" customFormat="1" ht="13.5" customHeight="1" x14ac:dyDescent="0.2">
      <c r="A169" s="385"/>
      <c r="B169" s="353"/>
      <c r="C169" s="354"/>
      <c r="D169" s="354"/>
      <c r="E169" s="355" t="s">
        <v>219</v>
      </c>
      <c r="F169" s="356">
        <f>24771833+7350000+10345883+3675000</f>
        <v>46142716</v>
      </c>
      <c r="G169" s="356"/>
      <c r="H169" s="356">
        <f>F169</f>
        <v>46142716</v>
      </c>
      <c r="I169" s="108"/>
      <c r="J169" s="108"/>
      <c r="K169" s="108"/>
      <c r="L169" s="108"/>
    </row>
    <row r="170" spans="1:12" s="26" customFormat="1" ht="13.5" customHeight="1" x14ac:dyDescent="0.2">
      <c r="A170" s="385"/>
      <c r="B170" s="353"/>
      <c r="C170" s="354"/>
      <c r="D170" s="354"/>
      <c r="E170" s="355" t="s">
        <v>220</v>
      </c>
      <c r="F170" s="356">
        <f>5973867+2402533</f>
        <v>8376400</v>
      </c>
      <c r="G170" s="356"/>
      <c r="H170" s="356">
        <f>F170</f>
        <v>8376400</v>
      </c>
      <c r="I170" s="108"/>
      <c r="J170" s="108"/>
      <c r="K170" s="108"/>
      <c r="L170" s="108"/>
    </row>
    <row r="171" spans="1:12" s="11" customFormat="1" ht="12.75" customHeight="1" x14ac:dyDescent="0.2">
      <c r="A171" s="385"/>
      <c r="B171" s="262">
        <v>3</v>
      </c>
      <c r="C171" s="348" t="s">
        <v>109</v>
      </c>
      <c r="D171" s="325"/>
      <c r="E171" s="352" t="s">
        <v>160</v>
      </c>
      <c r="F171" s="339">
        <f>SUM(F172:F179)</f>
        <v>59519564</v>
      </c>
      <c r="G171" s="339"/>
      <c r="H171" s="339">
        <f>G171+F171</f>
        <v>59519564</v>
      </c>
      <c r="I171" s="108"/>
      <c r="J171" s="107"/>
      <c r="K171" s="107"/>
      <c r="L171" s="107"/>
    </row>
    <row r="172" spans="1:12" s="26" customFormat="1" ht="12.75" customHeight="1" x14ac:dyDescent="0.2">
      <c r="A172" s="385"/>
      <c r="B172" s="361"/>
      <c r="C172" s="391"/>
      <c r="D172" s="354" t="s">
        <v>70</v>
      </c>
      <c r="E172" s="355" t="s">
        <v>323</v>
      </c>
      <c r="F172" s="356">
        <v>3400000</v>
      </c>
      <c r="G172" s="356"/>
      <c r="H172" s="356">
        <f t="shared" si="18"/>
        <v>3400000</v>
      </c>
      <c r="I172" s="111"/>
      <c r="J172" s="108"/>
      <c r="K172" s="108"/>
      <c r="L172" s="108"/>
    </row>
    <row r="173" spans="1:12" s="26" customFormat="1" ht="12.75" customHeight="1" x14ac:dyDescent="0.2">
      <c r="A173" s="385"/>
      <c r="B173" s="361"/>
      <c r="C173" s="391"/>
      <c r="D173" s="354" t="s">
        <v>70</v>
      </c>
      <c r="E173" s="355" t="s">
        <v>221</v>
      </c>
      <c r="F173" s="356">
        <v>2768000</v>
      </c>
      <c r="G173" s="356"/>
      <c r="H173" s="356">
        <f t="shared" si="18"/>
        <v>2768000</v>
      </c>
      <c r="I173" s="108"/>
      <c r="J173" s="108"/>
      <c r="K173" s="108"/>
      <c r="L173" s="108"/>
    </row>
    <row r="174" spans="1:12" s="26" customFormat="1" ht="12.75" customHeight="1" x14ac:dyDescent="0.2">
      <c r="A174" s="385"/>
      <c r="B174" s="361"/>
      <c r="C174" s="391"/>
      <c r="D174" s="354" t="s">
        <v>70</v>
      </c>
      <c r="E174" s="355" t="s">
        <v>222</v>
      </c>
      <c r="F174" s="356">
        <f>25000+1650000</f>
        <v>1675000</v>
      </c>
      <c r="G174" s="356"/>
      <c r="H174" s="356">
        <f t="shared" si="18"/>
        <v>1675000</v>
      </c>
      <c r="I174" s="108"/>
      <c r="J174" s="108"/>
      <c r="K174" s="108"/>
      <c r="L174" s="108"/>
    </row>
    <row r="175" spans="1:12" s="26" customFormat="1" ht="12.75" customHeight="1" x14ac:dyDescent="0.2">
      <c r="A175" s="385"/>
      <c r="B175" s="361"/>
      <c r="C175" s="391"/>
      <c r="D175" s="354" t="s">
        <v>71</v>
      </c>
      <c r="E175" s="357" t="s">
        <v>324</v>
      </c>
      <c r="F175" s="356">
        <v>6200000</v>
      </c>
      <c r="G175" s="356"/>
      <c r="H175" s="356">
        <f t="shared" si="18"/>
        <v>6200000</v>
      </c>
      <c r="I175" s="108"/>
      <c r="J175" s="108"/>
      <c r="K175" s="108"/>
      <c r="L175" s="108"/>
    </row>
    <row r="176" spans="1:12" s="26" customFormat="1" ht="12.75" customHeight="1" x14ac:dyDescent="0.2">
      <c r="A176" s="385"/>
      <c r="B176" s="361"/>
      <c r="C176" s="391"/>
      <c r="D176" s="354" t="s">
        <v>71</v>
      </c>
      <c r="E176" s="355" t="s">
        <v>223</v>
      </c>
      <c r="F176" s="356">
        <v>2180000</v>
      </c>
      <c r="G176" s="356"/>
      <c r="H176" s="356">
        <f t="shared" si="18"/>
        <v>2180000</v>
      </c>
      <c r="I176" s="108"/>
      <c r="J176" s="108"/>
      <c r="K176" s="108"/>
      <c r="L176" s="108"/>
    </row>
    <row r="177" spans="1:12" s="26" customFormat="1" ht="14.25" customHeight="1" x14ac:dyDescent="0.2">
      <c r="A177" s="385"/>
      <c r="B177" s="361"/>
      <c r="C177" s="391"/>
      <c r="D177" s="354" t="s">
        <v>70</v>
      </c>
      <c r="E177" s="355" t="s">
        <v>227</v>
      </c>
      <c r="F177" s="356">
        <f>11077000+14117915+123120+76000</f>
        <v>25394035</v>
      </c>
      <c r="G177" s="356"/>
      <c r="H177" s="356">
        <f t="shared" si="18"/>
        <v>25394035</v>
      </c>
      <c r="I177" s="108"/>
      <c r="J177" s="108"/>
      <c r="K177" s="108"/>
      <c r="L177" s="108"/>
    </row>
    <row r="178" spans="1:12" s="26" customFormat="1" ht="14.25" customHeight="1" x14ac:dyDescent="0.2">
      <c r="A178" s="385"/>
      <c r="B178" s="361"/>
      <c r="C178" s="391"/>
      <c r="D178" s="354" t="s">
        <v>70</v>
      </c>
      <c r="E178" s="355" t="s">
        <v>322</v>
      </c>
      <c r="F178" s="356">
        <v>15602529</v>
      </c>
      <c r="G178" s="356"/>
      <c r="H178" s="356">
        <f>F178</f>
        <v>15602529</v>
      </c>
      <c r="I178" s="108"/>
      <c r="J178" s="108"/>
      <c r="K178" s="108"/>
      <c r="L178" s="108"/>
    </row>
    <row r="179" spans="1:12" s="26" customFormat="1" ht="14.25" customHeight="1" x14ac:dyDescent="0.2">
      <c r="A179" s="385"/>
      <c r="B179" s="361"/>
      <c r="C179" s="391"/>
      <c r="D179" s="354" t="s">
        <v>70</v>
      </c>
      <c r="E179" s="355" t="s">
        <v>397</v>
      </c>
      <c r="F179" s="356">
        <v>2300000</v>
      </c>
      <c r="G179" s="356"/>
      <c r="H179" s="356">
        <f>F179</f>
        <v>2300000</v>
      </c>
      <c r="I179" s="108"/>
      <c r="J179" s="108"/>
      <c r="K179" s="108"/>
      <c r="L179" s="108"/>
    </row>
    <row r="180" spans="1:12" s="26" customFormat="1" ht="14.25" customHeight="1" x14ac:dyDescent="0.2">
      <c r="A180" s="385"/>
      <c r="B180" s="361">
        <v>4</v>
      </c>
      <c r="C180" s="391" t="s">
        <v>110</v>
      </c>
      <c r="D180" s="354"/>
      <c r="E180" s="352" t="s">
        <v>291</v>
      </c>
      <c r="F180" s="339">
        <f>F181+F182</f>
        <v>2605130</v>
      </c>
      <c r="G180" s="339">
        <f>G181+G182</f>
        <v>0</v>
      </c>
      <c r="H180" s="339">
        <f>F180</f>
        <v>2605130</v>
      </c>
      <c r="I180" s="108"/>
      <c r="J180" s="108"/>
      <c r="K180" s="108"/>
      <c r="L180" s="108"/>
    </row>
    <row r="181" spans="1:12" s="26" customFormat="1" ht="12.75" customHeight="1" x14ac:dyDescent="0.2">
      <c r="A181" s="385"/>
      <c r="B181" s="361"/>
      <c r="C181" s="358"/>
      <c r="D181" s="354" t="s">
        <v>70</v>
      </c>
      <c r="E181" s="359" t="s">
        <v>292</v>
      </c>
      <c r="F181" s="356">
        <v>2605130</v>
      </c>
      <c r="G181" s="356"/>
      <c r="H181" s="356">
        <f t="shared" si="18"/>
        <v>2605130</v>
      </c>
      <c r="I181" s="108"/>
      <c r="J181" s="108"/>
      <c r="K181" s="108"/>
      <c r="L181" s="108"/>
    </row>
    <row r="182" spans="1:12" s="26" customFormat="1" ht="12.75" customHeight="1" x14ac:dyDescent="0.2">
      <c r="A182" s="385"/>
      <c r="B182" s="361"/>
      <c r="C182" s="391"/>
      <c r="D182" s="354" t="s">
        <v>70</v>
      </c>
      <c r="E182" s="259" t="s">
        <v>282</v>
      </c>
      <c r="F182" s="356"/>
      <c r="G182" s="356"/>
      <c r="H182" s="356">
        <f t="shared" si="18"/>
        <v>0</v>
      </c>
      <c r="I182" s="108"/>
      <c r="J182" s="108"/>
      <c r="K182" s="108"/>
      <c r="L182" s="108"/>
    </row>
    <row r="183" spans="1:12" s="26" customFormat="1" ht="12.75" customHeight="1" x14ac:dyDescent="0.2">
      <c r="A183" s="385"/>
      <c r="B183" s="361">
        <v>5</v>
      </c>
      <c r="C183" s="391" t="s">
        <v>111</v>
      </c>
      <c r="D183" s="354" t="s">
        <v>70</v>
      </c>
      <c r="E183" s="352" t="s">
        <v>239</v>
      </c>
      <c r="F183" s="339">
        <f>SUM(F184:F186)</f>
        <v>14705314</v>
      </c>
      <c r="G183" s="339"/>
      <c r="H183" s="339">
        <f t="shared" si="18"/>
        <v>14705314</v>
      </c>
      <c r="I183" s="108"/>
      <c r="J183" s="108"/>
      <c r="K183" s="108"/>
      <c r="L183" s="108"/>
    </row>
    <row r="184" spans="1:12" s="26" customFormat="1" ht="12.75" customHeight="1" x14ac:dyDescent="0.2">
      <c r="A184" s="385"/>
      <c r="B184" s="361"/>
      <c r="C184" s="391"/>
      <c r="D184" s="354"/>
      <c r="E184" s="359" t="s">
        <v>245</v>
      </c>
      <c r="F184" s="261">
        <v>3108960</v>
      </c>
      <c r="G184" s="261"/>
      <c r="H184" s="261">
        <f>F184</f>
        <v>3108960</v>
      </c>
      <c r="I184" s="221"/>
      <c r="J184" s="108"/>
      <c r="K184" s="108"/>
      <c r="L184" s="108"/>
    </row>
    <row r="185" spans="1:12" s="26" customFormat="1" ht="12.75" customHeight="1" x14ac:dyDescent="0.2">
      <c r="A185" s="385"/>
      <c r="B185" s="361"/>
      <c r="C185" s="391"/>
      <c r="D185" s="354"/>
      <c r="E185" s="359" t="s">
        <v>391</v>
      </c>
      <c r="F185" s="261">
        <v>5048000</v>
      </c>
      <c r="G185" s="261"/>
      <c r="H185" s="261">
        <f t="shared" ref="H185" si="20">F185</f>
        <v>5048000</v>
      </c>
      <c r="I185" s="221"/>
      <c r="J185" s="108"/>
      <c r="K185" s="108"/>
      <c r="L185" s="108"/>
    </row>
    <row r="186" spans="1:12" s="26" customFormat="1" ht="12.75" customHeight="1" x14ac:dyDescent="0.2">
      <c r="A186" s="385"/>
      <c r="B186" s="826"/>
      <c r="C186" s="825"/>
      <c r="D186" s="354"/>
      <c r="E186" s="359" t="s">
        <v>396</v>
      </c>
      <c r="F186" s="261">
        <v>6548354</v>
      </c>
      <c r="G186" s="261"/>
      <c r="H186" s="261">
        <f>F186</f>
        <v>6548354</v>
      </c>
      <c r="I186" s="221"/>
      <c r="J186" s="108"/>
      <c r="K186" s="108"/>
      <c r="L186" s="108"/>
    </row>
    <row r="187" spans="1:12" ht="12.75" customHeight="1" x14ac:dyDescent="0.2">
      <c r="A187" s="262" t="s">
        <v>59</v>
      </c>
      <c r="B187" s="361">
        <v>6</v>
      </c>
      <c r="C187" s="391" t="s">
        <v>112</v>
      </c>
      <c r="D187" s="391" t="s">
        <v>70</v>
      </c>
      <c r="E187" s="352" t="s">
        <v>374</v>
      </c>
      <c r="F187" s="261">
        <v>9429</v>
      </c>
      <c r="G187" s="261"/>
      <c r="H187" s="261">
        <f>F187</f>
        <v>9429</v>
      </c>
      <c r="I187" s="112"/>
      <c r="J187" s="106"/>
      <c r="K187" s="106"/>
      <c r="L187" s="106"/>
    </row>
    <row r="188" spans="1:12" ht="15.75" customHeight="1" x14ac:dyDescent="0.2">
      <c r="A188" s="961" t="s">
        <v>113</v>
      </c>
      <c r="B188" s="961"/>
      <c r="C188" s="961"/>
      <c r="D188" s="961"/>
      <c r="E188" s="961"/>
      <c r="F188" s="339">
        <v>0</v>
      </c>
      <c r="G188" s="339"/>
      <c r="H188" s="339">
        <f>F188</f>
        <v>0</v>
      </c>
      <c r="I188" s="112"/>
      <c r="J188" s="106"/>
      <c r="K188" s="106"/>
      <c r="L188" s="106"/>
    </row>
    <row r="189" spans="1:12" ht="15.75" customHeight="1" x14ac:dyDescent="0.2">
      <c r="A189" s="961" t="s">
        <v>114</v>
      </c>
      <c r="B189" s="961"/>
      <c r="C189" s="961"/>
      <c r="D189" s="961"/>
      <c r="E189" s="961"/>
      <c r="F189" s="339">
        <v>0</v>
      </c>
      <c r="G189" s="339"/>
      <c r="H189" s="339">
        <v>0</v>
      </c>
      <c r="I189" s="106"/>
      <c r="J189" s="106"/>
      <c r="K189" s="106"/>
      <c r="L189" s="106"/>
    </row>
    <row r="190" spans="1:12" s="106" customFormat="1" ht="17.25" customHeight="1" x14ac:dyDescent="0.2">
      <c r="A190" s="961" t="s">
        <v>115</v>
      </c>
      <c r="B190" s="961"/>
      <c r="C190" s="961"/>
      <c r="D190" s="961"/>
      <c r="E190" s="961"/>
      <c r="F190" s="339">
        <f>1856-1856</f>
        <v>0</v>
      </c>
      <c r="G190" s="339"/>
      <c r="H190" s="339">
        <f>F190</f>
        <v>0</v>
      </c>
    </row>
    <row r="191" spans="1:12" ht="17.25" customHeight="1" x14ac:dyDescent="0.2">
      <c r="A191" s="961" t="s">
        <v>116</v>
      </c>
      <c r="B191" s="961"/>
      <c r="C191" s="961"/>
      <c r="D191" s="961"/>
      <c r="E191" s="961"/>
      <c r="F191" s="339">
        <v>0</v>
      </c>
      <c r="G191" s="339"/>
      <c r="H191" s="339">
        <v>0</v>
      </c>
      <c r="I191" s="106"/>
      <c r="J191" s="106"/>
      <c r="K191" s="106"/>
      <c r="L191" s="106"/>
    </row>
    <row r="192" spans="1:12" ht="15" customHeight="1" x14ac:dyDescent="0.2">
      <c r="A192" s="571" t="s">
        <v>117</v>
      </c>
      <c r="B192" s="571"/>
      <c r="C192" s="571"/>
      <c r="D192" s="571"/>
      <c r="E192" s="571"/>
      <c r="F192" s="339">
        <f>SUM(F193:F198)</f>
        <v>46927170</v>
      </c>
      <c r="G192" s="339"/>
      <c r="H192" s="339">
        <f>F192+G192</f>
        <v>46927170</v>
      </c>
      <c r="I192" s="106"/>
      <c r="J192" s="106"/>
      <c r="K192" s="106"/>
      <c r="L192" s="106"/>
    </row>
    <row r="193" spans="1:12" ht="14.25" customHeight="1" x14ac:dyDescent="0.2">
      <c r="A193" s="262"/>
      <c r="B193" s="391">
        <v>1</v>
      </c>
      <c r="C193" s="260" t="s">
        <v>180</v>
      </c>
      <c r="D193" s="260" t="s">
        <v>70</v>
      </c>
      <c r="E193" s="324" t="s">
        <v>118</v>
      </c>
      <c r="F193" s="261">
        <v>1516000</v>
      </c>
      <c r="G193" s="261"/>
      <c r="H193" s="261">
        <f t="shared" ref="H193:H194" si="21">F193+G193</f>
        <v>1516000</v>
      </c>
      <c r="I193" s="106"/>
      <c r="J193" s="106"/>
      <c r="K193" s="106"/>
      <c r="L193" s="106"/>
    </row>
    <row r="194" spans="1:12" ht="14.25" customHeight="1" x14ac:dyDescent="0.2">
      <c r="A194" s="262"/>
      <c r="B194" s="391">
        <f>B193+1</f>
        <v>2</v>
      </c>
      <c r="C194" s="260" t="s">
        <v>180</v>
      </c>
      <c r="D194" s="260" t="s">
        <v>70</v>
      </c>
      <c r="E194" s="324" t="s">
        <v>63</v>
      </c>
      <c r="F194" s="261">
        <v>34042322</v>
      </c>
      <c r="G194" s="261"/>
      <c r="H194" s="261">
        <f t="shared" si="21"/>
        <v>34042322</v>
      </c>
      <c r="I194" s="106"/>
      <c r="J194" s="106"/>
      <c r="K194" s="106"/>
      <c r="L194" s="106"/>
    </row>
    <row r="195" spans="1:12" ht="14.25" customHeight="1" x14ac:dyDescent="0.2">
      <c r="A195" s="262"/>
      <c r="B195" s="391">
        <f t="shared" ref="B195:B198" si="22">B194+1</f>
        <v>3</v>
      </c>
      <c r="C195" s="260" t="s">
        <v>180</v>
      </c>
      <c r="D195" s="260" t="s">
        <v>70</v>
      </c>
      <c r="E195" s="324" t="s">
        <v>373</v>
      </c>
      <c r="F195" s="261">
        <f>4794500+1000000</f>
        <v>5794500</v>
      </c>
      <c r="G195" s="261"/>
      <c r="H195" s="261">
        <f>F195</f>
        <v>5794500</v>
      </c>
      <c r="I195" s="106"/>
      <c r="J195" s="106"/>
      <c r="K195" s="106"/>
      <c r="L195" s="106"/>
    </row>
    <row r="196" spans="1:12" ht="14.25" customHeight="1" x14ac:dyDescent="0.2">
      <c r="A196" s="262"/>
      <c r="B196" s="391">
        <f t="shared" si="22"/>
        <v>4</v>
      </c>
      <c r="C196" s="260" t="s">
        <v>180</v>
      </c>
      <c r="D196" s="260" t="s">
        <v>70</v>
      </c>
      <c r="E196" s="731" t="s">
        <v>311</v>
      </c>
      <c r="F196" s="261">
        <f>900000+2000000</f>
        <v>2900000</v>
      </c>
      <c r="G196" s="261"/>
      <c r="H196" s="261">
        <f>F196</f>
        <v>2900000</v>
      </c>
      <c r="I196" s="106"/>
      <c r="J196" s="106"/>
      <c r="K196" s="106"/>
      <c r="L196" s="106"/>
    </row>
    <row r="197" spans="1:12" s="827" customFormat="1" ht="12" customHeight="1" x14ac:dyDescent="0.2">
      <c r="A197" s="879"/>
      <c r="B197" s="839">
        <f t="shared" si="22"/>
        <v>5</v>
      </c>
      <c r="C197" s="840" t="s">
        <v>180</v>
      </c>
      <c r="D197" s="840" t="s">
        <v>71</v>
      </c>
      <c r="E197" s="841" t="s">
        <v>241</v>
      </c>
      <c r="F197" s="842">
        <v>692306</v>
      </c>
      <c r="G197" s="842"/>
      <c r="H197" s="842">
        <f>F197</f>
        <v>692306</v>
      </c>
    </row>
    <row r="198" spans="1:12" ht="12" customHeight="1" x14ac:dyDescent="0.2">
      <c r="A198" s="262"/>
      <c r="B198" s="391">
        <f t="shared" si="22"/>
        <v>6</v>
      </c>
      <c r="C198" s="260" t="s">
        <v>180</v>
      </c>
      <c r="D198" s="260" t="s">
        <v>71</v>
      </c>
      <c r="E198" s="572" t="s">
        <v>313</v>
      </c>
      <c r="F198" s="261">
        <f>4*270000+540000+362042</f>
        <v>1982042</v>
      </c>
      <c r="G198" s="261"/>
      <c r="H198" s="261">
        <f>F198</f>
        <v>1982042</v>
      </c>
      <c r="I198" s="106"/>
      <c r="J198" s="106"/>
      <c r="K198" s="106"/>
      <c r="L198" s="106"/>
    </row>
    <row r="199" spans="1:12" ht="16.5" customHeight="1" x14ac:dyDescent="0.2">
      <c r="A199" s="964" t="s">
        <v>172</v>
      </c>
      <c r="B199" s="964"/>
      <c r="C199" s="964"/>
      <c r="D199" s="964"/>
      <c r="E199" s="964"/>
      <c r="F199" s="339">
        <f>F200+F203</f>
        <v>0</v>
      </c>
      <c r="G199" s="339">
        <f>G200+G203</f>
        <v>152274213</v>
      </c>
      <c r="H199" s="339">
        <f>G199</f>
        <v>152274213</v>
      </c>
      <c r="I199" s="106"/>
      <c r="J199" s="106"/>
      <c r="K199" s="106"/>
      <c r="L199" s="106"/>
    </row>
    <row r="200" spans="1:12" ht="16.5" customHeight="1" x14ac:dyDescent="0.2">
      <c r="A200" s="963" t="s">
        <v>289</v>
      </c>
      <c r="B200" s="963"/>
      <c r="C200" s="963"/>
      <c r="D200" s="963"/>
      <c r="E200" s="963"/>
      <c r="F200" s="339">
        <f>F201+F202</f>
        <v>0</v>
      </c>
      <c r="G200" s="339">
        <f>G201+G202</f>
        <v>50000000</v>
      </c>
      <c r="H200" s="339">
        <f>F200+G200</f>
        <v>50000000</v>
      </c>
      <c r="I200" s="106"/>
      <c r="J200" s="106"/>
      <c r="K200" s="106"/>
      <c r="L200" s="106"/>
    </row>
    <row r="201" spans="1:12" ht="16.5" customHeight="1" x14ac:dyDescent="0.2">
      <c r="A201" s="569"/>
      <c r="B201" s="569" t="s">
        <v>15</v>
      </c>
      <c r="C201" s="569" t="s">
        <v>318</v>
      </c>
      <c r="D201" s="569" t="s">
        <v>71</v>
      </c>
      <c r="E201" s="569" t="s">
        <v>375</v>
      </c>
      <c r="F201" s="339"/>
      <c r="G201" s="339"/>
      <c r="H201" s="339">
        <f>F201+G201</f>
        <v>0</v>
      </c>
      <c r="I201" s="106"/>
      <c r="J201" s="106"/>
      <c r="K201" s="106"/>
      <c r="L201" s="106"/>
    </row>
    <row r="202" spans="1:12" ht="16.5" customHeight="1" x14ac:dyDescent="0.2">
      <c r="A202" s="831"/>
      <c r="B202" s="831">
        <v>2</v>
      </c>
      <c r="C202" s="831" t="s">
        <v>318</v>
      </c>
      <c r="D202" s="831" t="s">
        <v>70</v>
      </c>
      <c r="E202" s="831" t="s">
        <v>402</v>
      </c>
      <c r="F202" s="339"/>
      <c r="G202" s="339">
        <v>50000000</v>
      </c>
      <c r="H202" s="339">
        <f>F202+G202</f>
        <v>50000000</v>
      </c>
      <c r="I202" s="106"/>
      <c r="J202" s="106"/>
      <c r="K202" s="106"/>
      <c r="L202" s="106"/>
    </row>
    <row r="203" spans="1:12" ht="16.5" customHeight="1" x14ac:dyDescent="0.2">
      <c r="A203" s="568"/>
      <c r="B203" s="963" t="s">
        <v>288</v>
      </c>
      <c r="C203" s="963"/>
      <c r="D203" s="963"/>
      <c r="E203" s="963"/>
      <c r="F203" s="339">
        <f>F204+F205</f>
        <v>0</v>
      </c>
      <c r="G203" s="339">
        <f>G204+G205</f>
        <v>102274213</v>
      </c>
      <c r="H203" s="339">
        <f>F203+G203</f>
        <v>102274213</v>
      </c>
      <c r="I203" s="106"/>
      <c r="J203" s="106"/>
      <c r="K203" s="106"/>
      <c r="L203" s="106"/>
    </row>
    <row r="204" spans="1:12" ht="16.5" customHeight="1" x14ac:dyDescent="0.2">
      <c r="A204" s="568"/>
      <c r="B204" s="569">
        <v>1</v>
      </c>
      <c r="C204" s="392" t="s">
        <v>181</v>
      </c>
      <c r="D204" s="392" t="s">
        <v>70</v>
      </c>
      <c r="E204" s="392" t="s">
        <v>319</v>
      </c>
      <c r="F204" s="261"/>
      <c r="G204" s="261">
        <v>27203979</v>
      </c>
      <c r="H204" s="261">
        <f>G204+F204</f>
        <v>27203979</v>
      </c>
      <c r="I204" s="106"/>
      <c r="J204" s="106"/>
      <c r="K204" s="106"/>
      <c r="L204" s="106"/>
    </row>
    <row r="205" spans="1:12" ht="16.5" customHeight="1" x14ac:dyDescent="0.2">
      <c r="A205" s="568"/>
      <c r="B205" s="569">
        <v>2</v>
      </c>
      <c r="C205" s="392" t="s">
        <v>181</v>
      </c>
      <c r="D205" s="392" t="s">
        <v>70</v>
      </c>
      <c r="E205" s="392" t="s">
        <v>306</v>
      </c>
      <c r="F205" s="261"/>
      <c r="G205" s="261">
        <v>75070234</v>
      </c>
      <c r="H205" s="261">
        <f>G205+F205</f>
        <v>75070234</v>
      </c>
      <c r="I205" s="106"/>
      <c r="J205" s="106"/>
      <c r="K205" s="106"/>
      <c r="L205" s="106"/>
    </row>
    <row r="206" spans="1:12" ht="15" customHeight="1" x14ac:dyDescent="0.2">
      <c r="A206" s="964" t="s">
        <v>161</v>
      </c>
      <c r="B206" s="964"/>
      <c r="C206" s="964"/>
      <c r="D206" s="964"/>
      <c r="E206" s="964"/>
      <c r="F206" s="339">
        <f>F215+F212+F210+F209+F208+F207</f>
        <v>20876962</v>
      </c>
      <c r="G206" s="339">
        <f>G212</f>
        <v>20523038</v>
      </c>
      <c r="H206" s="339">
        <f>H207+H208+H209+H210+H212+H215</f>
        <v>41400000</v>
      </c>
      <c r="I206" s="106"/>
      <c r="J206" s="106"/>
      <c r="K206" s="106"/>
      <c r="L206" s="106"/>
    </row>
    <row r="207" spans="1:12" ht="14.25" customHeight="1" x14ac:dyDescent="0.2">
      <c r="A207" s="961" t="s">
        <v>119</v>
      </c>
      <c r="B207" s="961"/>
      <c r="C207" s="961"/>
      <c r="D207" s="961"/>
      <c r="E207" s="961"/>
      <c r="F207" s="261">
        <v>0</v>
      </c>
      <c r="G207" s="261"/>
      <c r="H207" s="261">
        <v>0</v>
      </c>
      <c r="I207" s="106"/>
      <c r="J207" s="106"/>
      <c r="K207" s="106"/>
      <c r="L207" s="106"/>
    </row>
    <row r="208" spans="1:12" ht="14.25" customHeight="1" x14ac:dyDescent="0.2">
      <c r="A208" s="961" t="s">
        <v>120</v>
      </c>
      <c r="B208" s="961"/>
      <c r="C208" s="961"/>
      <c r="D208" s="961"/>
      <c r="E208" s="961"/>
      <c r="F208" s="261">
        <v>0</v>
      </c>
      <c r="G208" s="261"/>
      <c r="H208" s="261">
        <v>0</v>
      </c>
      <c r="I208" s="106"/>
      <c r="J208" s="106"/>
      <c r="K208" s="106"/>
      <c r="L208" s="106"/>
    </row>
    <row r="209" spans="1:12" ht="14.25" customHeight="1" x14ac:dyDescent="0.2">
      <c r="A209" s="961" t="s">
        <v>163</v>
      </c>
      <c r="B209" s="961"/>
      <c r="C209" s="961"/>
      <c r="D209" s="961"/>
      <c r="E209" s="961"/>
      <c r="F209" s="261">
        <v>0</v>
      </c>
      <c r="G209" s="261"/>
      <c r="H209" s="261">
        <v>0</v>
      </c>
      <c r="I209" s="106"/>
      <c r="J209" s="106"/>
      <c r="K209" s="106"/>
      <c r="L209" s="106"/>
    </row>
    <row r="210" spans="1:12" ht="14.25" customHeight="1" x14ac:dyDescent="0.2">
      <c r="A210" s="961" t="s">
        <v>173</v>
      </c>
      <c r="B210" s="961"/>
      <c r="C210" s="961"/>
      <c r="D210" s="961"/>
      <c r="E210" s="961"/>
      <c r="F210" s="339">
        <f>F211</f>
        <v>5800000</v>
      </c>
      <c r="G210" s="339"/>
      <c r="H210" s="339">
        <f>H211</f>
        <v>5800000</v>
      </c>
      <c r="I210" s="112"/>
      <c r="J210" s="106"/>
      <c r="K210" s="106"/>
      <c r="L210" s="106"/>
    </row>
    <row r="211" spans="1:12" ht="14.25" customHeight="1" x14ac:dyDescent="0.2">
      <c r="A211" s="262"/>
      <c r="B211" s="391">
        <v>1</v>
      </c>
      <c r="C211" s="391" t="s">
        <v>244</v>
      </c>
      <c r="D211" s="391" t="s">
        <v>71</v>
      </c>
      <c r="E211" s="732" t="s">
        <v>121</v>
      </c>
      <c r="F211" s="261">
        <v>5800000</v>
      </c>
      <c r="G211" s="261"/>
      <c r="H211" s="261">
        <f t="shared" ref="H211:H217" si="23">F211+G211</f>
        <v>5800000</v>
      </c>
      <c r="I211" s="106"/>
      <c r="J211" s="106"/>
      <c r="K211" s="106"/>
      <c r="L211" s="106"/>
    </row>
    <row r="212" spans="1:12" ht="14.25" customHeight="1" x14ac:dyDescent="0.2">
      <c r="A212" s="961" t="s">
        <v>174</v>
      </c>
      <c r="B212" s="961"/>
      <c r="C212" s="961"/>
      <c r="D212" s="961"/>
      <c r="E212" s="961"/>
      <c r="F212" s="339">
        <f>+F214+F213</f>
        <v>14976962</v>
      </c>
      <c r="G212" s="339">
        <f>+G214+G213</f>
        <v>20523038</v>
      </c>
      <c r="H212" s="339">
        <f>F212+G212</f>
        <v>35500000</v>
      </c>
      <c r="I212" s="106"/>
      <c r="J212" s="106"/>
      <c r="K212" s="106"/>
      <c r="L212" s="106"/>
    </row>
    <row r="213" spans="1:12" ht="14.25" customHeight="1" x14ac:dyDescent="0.2">
      <c r="A213" s="262"/>
      <c r="B213" s="391">
        <v>1</v>
      </c>
      <c r="C213" s="391" t="s">
        <v>242</v>
      </c>
      <c r="D213" s="391" t="s">
        <v>71</v>
      </c>
      <c r="E213" s="392" t="s">
        <v>122</v>
      </c>
      <c r="F213" s="261">
        <f>24000000-G213+1000000+5000000</f>
        <v>9476962</v>
      </c>
      <c r="G213" s="261">
        <f>17875979+2647059</f>
        <v>20523038</v>
      </c>
      <c r="H213" s="261">
        <f t="shared" si="23"/>
        <v>30000000</v>
      </c>
      <c r="I213" s="106"/>
      <c r="J213" s="106"/>
      <c r="K213" s="106"/>
      <c r="L213" s="106"/>
    </row>
    <row r="214" spans="1:12" ht="14.25" customHeight="1" x14ac:dyDescent="0.2">
      <c r="A214" s="262"/>
      <c r="B214" s="391">
        <v>2</v>
      </c>
      <c r="C214" s="391" t="s">
        <v>243</v>
      </c>
      <c r="D214" s="391" t="s">
        <v>70</v>
      </c>
      <c r="E214" s="324" t="s">
        <v>40</v>
      </c>
      <c r="F214" s="261">
        <v>5500000</v>
      </c>
      <c r="G214" s="261"/>
      <c r="H214" s="261">
        <f t="shared" si="23"/>
        <v>5500000</v>
      </c>
      <c r="I214" s="106"/>
      <c r="J214" s="106"/>
      <c r="K214" s="106"/>
      <c r="L214" s="106"/>
    </row>
    <row r="215" spans="1:12" ht="14.25" customHeight="1" x14ac:dyDescent="0.2">
      <c r="A215" s="961" t="s">
        <v>123</v>
      </c>
      <c r="B215" s="961"/>
      <c r="C215" s="961"/>
      <c r="D215" s="961"/>
      <c r="E215" s="961"/>
      <c r="F215" s="339">
        <f>F216+F217</f>
        <v>100000</v>
      </c>
      <c r="G215" s="339"/>
      <c r="H215" s="339">
        <f t="shared" si="23"/>
        <v>100000</v>
      </c>
      <c r="I215" s="106"/>
      <c r="J215" s="106"/>
      <c r="K215" s="106"/>
      <c r="L215" s="106"/>
    </row>
    <row r="216" spans="1:12" ht="14.25" customHeight="1" x14ac:dyDescent="0.2">
      <c r="A216" s="262"/>
      <c r="B216" s="391">
        <v>1</v>
      </c>
      <c r="C216" s="965" t="s">
        <v>124</v>
      </c>
      <c r="D216" s="391" t="s">
        <v>71</v>
      </c>
      <c r="E216" s="970" t="s">
        <v>186</v>
      </c>
      <c r="F216" s="261">
        <v>0</v>
      </c>
      <c r="G216" s="261"/>
      <c r="H216" s="261">
        <f t="shared" si="23"/>
        <v>0</v>
      </c>
      <c r="I216" s="106"/>
      <c r="J216" s="106"/>
      <c r="K216" s="106"/>
      <c r="L216" s="106"/>
    </row>
    <row r="217" spans="1:12" ht="14.25" customHeight="1" x14ac:dyDescent="0.2">
      <c r="A217" s="262"/>
      <c r="B217" s="391">
        <v>2</v>
      </c>
      <c r="C217" s="965"/>
      <c r="D217" s="391" t="s">
        <v>70</v>
      </c>
      <c r="E217" s="970"/>
      <c r="F217" s="261">
        <v>100000</v>
      </c>
      <c r="G217" s="261"/>
      <c r="H217" s="261">
        <f t="shared" si="23"/>
        <v>100000</v>
      </c>
      <c r="I217" s="106"/>
      <c r="J217" s="106"/>
      <c r="K217" s="106"/>
      <c r="L217" s="106"/>
    </row>
    <row r="218" spans="1:12" ht="17.25" customHeight="1" x14ac:dyDescent="0.2">
      <c r="A218" s="973" t="s">
        <v>125</v>
      </c>
      <c r="B218" s="973"/>
      <c r="C218" s="973"/>
      <c r="D218" s="973"/>
      <c r="E218" s="973"/>
      <c r="F218" s="339">
        <f>SUM(F219:F237)</f>
        <v>21415000</v>
      </c>
      <c r="G218" s="339"/>
      <c r="H218" s="339">
        <f>F218+G218</f>
        <v>21415000</v>
      </c>
      <c r="I218" s="112"/>
      <c r="J218" s="106"/>
      <c r="K218" s="106"/>
      <c r="L218" s="106"/>
    </row>
    <row r="219" spans="1:12" ht="12.75" customHeight="1" x14ac:dyDescent="0.2">
      <c r="A219" s="361"/>
      <c r="B219" s="391">
        <v>1</v>
      </c>
      <c r="C219" s="333" t="s">
        <v>166</v>
      </c>
      <c r="D219" s="333" t="s">
        <v>70</v>
      </c>
      <c r="E219" s="392" t="s">
        <v>315</v>
      </c>
      <c r="F219" s="733">
        <v>5000000</v>
      </c>
      <c r="G219" s="261"/>
      <c r="H219" s="261">
        <f>F219+G219</f>
        <v>5000000</v>
      </c>
      <c r="I219" s="106"/>
      <c r="J219" s="106"/>
      <c r="K219" s="106"/>
      <c r="L219" s="106"/>
    </row>
    <row r="220" spans="1:12" ht="12.75" customHeight="1" x14ac:dyDescent="0.2">
      <c r="A220" s="262"/>
      <c r="B220" s="965">
        <v>2</v>
      </c>
      <c r="C220" s="965" t="s">
        <v>129</v>
      </c>
      <c r="D220" s="391" t="s">
        <v>71</v>
      </c>
      <c r="E220" s="970" t="s">
        <v>183</v>
      </c>
      <c r="F220" s="261">
        <v>5000000</v>
      </c>
      <c r="G220" s="261"/>
      <c r="H220" s="261">
        <f t="shared" ref="H220:H232" si="24">F220</f>
        <v>5000000</v>
      </c>
      <c r="I220" s="106"/>
      <c r="J220" s="106"/>
      <c r="K220" s="106"/>
      <c r="L220" s="106"/>
    </row>
    <row r="221" spans="1:12" ht="12.75" customHeight="1" x14ac:dyDescent="0.2">
      <c r="A221" s="262"/>
      <c r="B221" s="965"/>
      <c r="C221" s="965"/>
      <c r="D221" s="391" t="s">
        <v>70</v>
      </c>
      <c r="E221" s="970"/>
      <c r="F221" s="261"/>
      <c r="G221" s="261"/>
      <c r="H221" s="261">
        <f t="shared" si="24"/>
        <v>0</v>
      </c>
      <c r="I221" s="106"/>
      <c r="J221" s="106"/>
      <c r="K221" s="106"/>
      <c r="L221" s="106"/>
    </row>
    <row r="222" spans="1:12" ht="12.75" customHeight="1" x14ac:dyDescent="0.2">
      <c r="A222" s="262"/>
      <c r="B222" s="965">
        <v>3</v>
      </c>
      <c r="C222" s="965" t="s">
        <v>127</v>
      </c>
      <c r="D222" s="391" t="s">
        <v>71</v>
      </c>
      <c r="E222" s="970" t="s">
        <v>185</v>
      </c>
      <c r="F222" s="261"/>
      <c r="G222" s="261"/>
      <c r="H222" s="261">
        <f t="shared" si="24"/>
        <v>0</v>
      </c>
      <c r="I222" s="106"/>
      <c r="J222" s="106"/>
      <c r="K222" s="106"/>
      <c r="L222" s="106"/>
    </row>
    <row r="223" spans="1:12" ht="12.75" customHeight="1" x14ac:dyDescent="0.2">
      <c r="A223" s="262"/>
      <c r="B223" s="965"/>
      <c r="C223" s="965"/>
      <c r="D223" s="391" t="s">
        <v>70</v>
      </c>
      <c r="E223" s="970"/>
      <c r="F223" s="261">
        <v>4500000</v>
      </c>
      <c r="G223" s="261"/>
      <c r="H223" s="261">
        <f t="shared" si="24"/>
        <v>4500000</v>
      </c>
      <c r="I223" s="106"/>
      <c r="J223" s="106"/>
      <c r="K223" s="106"/>
      <c r="L223" s="106"/>
    </row>
    <row r="224" spans="1:12" ht="12.75" customHeight="1" x14ac:dyDescent="0.2">
      <c r="A224" s="262"/>
      <c r="B224" s="965">
        <v>4</v>
      </c>
      <c r="C224" s="965" t="s">
        <v>126</v>
      </c>
      <c r="D224" s="391" t="s">
        <v>71</v>
      </c>
      <c r="E224" s="970" t="s">
        <v>187</v>
      </c>
      <c r="F224" s="261"/>
      <c r="G224" s="261"/>
      <c r="H224" s="261">
        <f t="shared" si="24"/>
        <v>0</v>
      </c>
      <c r="I224" s="106"/>
      <c r="J224" s="106"/>
      <c r="K224" s="106"/>
      <c r="L224" s="106"/>
    </row>
    <row r="225" spans="1:12" ht="12.75" customHeight="1" x14ac:dyDescent="0.2">
      <c r="A225" s="262"/>
      <c r="B225" s="965"/>
      <c r="C225" s="965"/>
      <c r="D225" s="391" t="s">
        <v>70</v>
      </c>
      <c r="E225" s="970"/>
      <c r="F225" s="261"/>
      <c r="G225" s="261"/>
      <c r="H225" s="261">
        <f>F225</f>
        <v>0</v>
      </c>
      <c r="I225" s="106"/>
      <c r="J225" s="106"/>
      <c r="K225" s="106"/>
      <c r="L225" s="106"/>
    </row>
    <row r="226" spans="1:12" ht="12.75" customHeight="1" x14ac:dyDescent="0.2">
      <c r="A226" s="262"/>
      <c r="B226" s="965">
        <v>5</v>
      </c>
      <c r="C226" s="965" t="s">
        <v>199</v>
      </c>
      <c r="D226" s="391" t="s">
        <v>71</v>
      </c>
      <c r="E226" s="970" t="s">
        <v>196</v>
      </c>
      <c r="F226" s="261"/>
      <c r="G226" s="261"/>
      <c r="H226" s="261">
        <f t="shared" si="24"/>
        <v>0</v>
      </c>
      <c r="I226" s="106"/>
      <c r="J226" s="106"/>
      <c r="K226" s="106"/>
      <c r="L226" s="106"/>
    </row>
    <row r="227" spans="1:12" ht="12.75" customHeight="1" x14ac:dyDescent="0.2">
      <c r="A227" s="262"/>
      <c r="B227" s="965"/>
      <c r="C227" s="965"/>
      <c r="D227" s="391" t="s">
        <v>70</v>
      </c>
      <c r="E227" s="970"/>
      <c r="F227" s="261"/>
      <c r="G227" s="261"/>
      <c r="H227" s="261">
        <f t="shared" si="24"/>
        <v>0</v>
      </c>
      <c r="I227" s="106"/>
      <c r="J227" s="106"/>
      <c r="K227" s="106"/>
      <c r="L227" s="106"/>
    </row>
    <row r="228" spans="1:12" ht="12.75" customHeight="1" x14ac:dyDescent="0.2">
      <c r="A228" s="262"/>
      <c r="B228" s="965">
        <v>6</v>
      </c>
      <c r="C228" s="965" t="s">
        <v>195</v>
      </c>
      <c r="D228" s="391" t="s">
        <v>71</v>
      </c>
      <c r="E228" s="970" t="s">
        <v>197</v>
      </c>
      <c r="F228" s="261">
        <f>F220*27%</f>
        <v>1350000</v>
      </c>
      <c r="G228" s="261"/>
      <c r="H228" s="261">
        <f t="shared" si="24"/>
        <v>1350000</v>
      </c>
      <c r="I228" s="106"/>
      <c r="J228" s="106"/>
      <c r="K228" s="106"/>
      <c r="L228" s="106"/>
    </row>
    <row r="229" spans="1:12" ht="12.75" customHeight="1" x14ac:dyDescent="0.2">
      <c r="A229" s="262"/>
      <c r="B229" s="965"/>
      <c r="C229" s="965"/>
      <c r="D229" s="391" t="s">
        <v>70</v>
      </c>
      <c r="E229" s="970"/>
      <c r="F229" s="261">
        <f>(F219+F223)*27%</f>
        <v>2565000</v>
      </c>
      <c r="G229" s="261"/>
      <c r="H229" s="261">
        <f t="shared" si="24"/>
        <v>2565000</v>
      </c>
      <c r="I229" s="106"/>
      <c r="J229" s="106"/>
      <c r="K229" s="106"/>
      <c r="L229" s="106"/>
    </row>
    <row r="230" spans="1:12" ht="12.75" customHeight="1" x14ac:dyDescent="0.2">
      <c r="A230" s="262"/>
      <c r="B230" s="965">
        <v>7</v>
      </c>
      <c r="C230" s="965" t="s">
        <v>194</v>
      </c>
      <c r="D230" s="391" t="s">
        <v>71</v>
      </c>
      <c r="E230" s="970" t="s">
        <v>198</v>
      </c>
      <c r="F230" s="261"/>
      <c r="G230" s="261"/>
      <c r="H230" s="261">
        <f t="shared" si="24"/>
        <v>0</v>
      </c>
      <c r="I230" s="106"/>
      <c r="J230" s="106"/>
      <c r="K230" s="106"/>
      <c r="L230" s="106"/>
    </row>
    <row r="231" spans="1:12" ht="12.75" customHeight="1" x14ac:dyDescent="0.2">
      <c r="A231" s="262"/>
      <c r="B231" s="965"/>
      <c r="C231" s="965"/>
      <c r="D231" s="391" t="s">
        <v>70</v>
      </c>
      <c r="E231" s="970"/>
      <c r="F231" s="261"/>
      <c r="G231" s="261"/>
      <c r="H231" s="261">
        <f t="shared" si="24"/>
        <v>0</v>
      </c>
      <c r="I231" s="106"/>
      <c r="J231" s="106"/>
      <c r="K231" s="106"/>
      <c r="L231" s="106"/>
    </row>
    <row r="232" spans="1:12" ht="12.75" customHeight="1" x14ac:dyDescent="0.2">
      <c r="A232" s="262"/>
      <c r="B232" s="965">
        <v>8</v>
      </c>
      <c r="C232" s="965" t="s">
        <v>128</v>
      </c>
      <c r="D232" s="391" t="s">
        <v>71</v>
      </c>
      <c r="E232" s="970" t="s">
        <v>182</v>
      </c>
      <c r="F232" s="261"/>
      <c r="G232" s="261"/>
      <c r="H232" s="261">
        <f t="shared" si="24"/>
        <v>0</v>
      </c>
      <c r="I232" s="106"/>
      <c r="J232" s="106"/>
      <c r="K232" s="106"/>
      <c r="L232" s="106"/>
    </row>
    <row r="233" spans="1:12" ht="12.75" customHeight="1" x14ac:dyDescent="0.2">
      <c r="A233" s="262"/>
      <c r="B233" s="965"/>
      <c r="C233" s="965"/>
      <c r="D233" s="391" t="s">
        <v>70</v>
      </c>
      <c r="E233" s="970"/>
      <c r="F233" s="261">
        <v>1000000</v>
      </c>
      <c r="G233" s="261"/>
      <c r="H233" s="261">
        <f t="shared" ref="H233:H236" si="25">F233</f>
        <v>1000000</v>
      </c>
      <c r="I233" s="106"/>
      <c r="J233" s="106"/>
      <c r="K233" s="106"/>
      <c r="L233" s="106"/>
    </row>
    <row r="234" spans="1:12" ht="12.75" customHeight="1" x14ac:dyDescent="0.2">
      <c r="A234" s="262"/>
      <c r="B234" s="965">
        <v>9</v>
      </c>
      <c r="C234" s="965" t="s">
        <v>167</v>
      </c>
      <c r="D234" s="391" t="s">
        <v>71</v>
      </c>
      <c r="E234" s="970" t="s">
        <v>169</v>
      </c>
      <c r="F234" s="261"/>
      <c r="G234" s="261"/>
      <c r="H234" s="261">
        <f t="shared" si="25"/>
        <v>0</v>
      </c>
      <c r="I234" s="106"/>
      <c r="J234" s="106"/>
      <c r="K234" s="106"/>
      <c r="L234" s="106"/>
    </row>
    <row r="235" spans="1:12" ht="12.75" customHeight="1" x14ac:dyDescent="0.2">
      <c r="A235" s="262"/>
      <c r="B235" s="965"/>
      <c r="C235" s="965"/>
      <c r="D235" s="391" t="s">
        <v>70</v>
      </c>
      <c r="E235" s="970"/>
      <c r="F235" s="261"/>
      <c r="G235" s="261"/>
      <c r="H235" s="261">
        <f>F235</f>
        <v>0</v>
      </c>
      <c r="I235" s="106"/>
      <c r="J235" s="106"/>
      <c r="K235" s="106"/>
      <c r="L235" s="106"/>
    </row>
    <row r="236" spans="1:12" ht="12.75" customHeight="1" x14ac:dyDescent="0.2">
      <c r="A236" s="262"/>
      <c r="B236" s="965">
        <v>10</v>
      </c>
      <c r="C236" s="965" t="s">
        <v>287</v>
      </c>
      <c r="D236" s="391" t="s">
        <v>71</v>
      </c>
      <c r="E236" s="970" t="s">
        <v>170</v>
      </c>
      <c r="F236" s="261"/>
      <c r="G236" s="261"/>
      <c r="H236" s="261">
        <f t="shared" si="25"/>
        <v>0</v>
      </c>
      <c r="I236" s="106"/>
      <c r="J236" s="106"/>
      <c r="K236" s="106"/>
      <c r="L236" s="106"/>
    </row>
    <row r="237" spans="1:12" ht="12.75" customHeight="1" x14ac:dyDescent="0.2">
      <c r="A237" s="262"/>
      <c r="B237" s="965"/>
      <c r="C237" s="965"/>
      <c r="D237" s="391" t="s">
        <v>70</v>
      </c>
      <c r="E237" s="970"/>
      <c r="F237" s="261">
        <v>2000000</v>
      </c>
      <c r="G237" s="261"/>
      <c r="H237" s="261">
        <f>F237</f>
        <v>2000000</v>
      </c>
      <c r="I237" s="106"/>
      <c r="J237" s="106"/>
      <c r="K237" s="106"/>
      <c r="L237" s="106"/>
    </row>
    <row r="238" spans="1:12" ht="14.25" customHeight="1" x14ac:dyDescent="0.2">
      <c r="A238" s="973" t="s">
        <v>130</v>
      </c>
      <c r="B238" s="973"/>
      <c r="C238" s="973"/>
      <c r="D238" s="973"/>
      <c r="E238" s="973"/>
      <c r="F238" s="339">
        <f>F239+F240</f>
        <v>0</v>
      </c>
      <c r="G238" s="339">
        <f>G239+G240</f>
        <v>3187454</v>
      </c>
      <c r="H238" s="339">
        <f>G238</f>
        <v>3187454</v>
      </c>
      <c r="I238" s="112"/>
      <c r="J238" s="106"/>
      <c r="K238" s="106"/>
      <c r="L238" s="106"/>
    </row>
    <row r="239" spans="1:12" ht="14.25" customHeight="1" x14ac:dyDescent="0.2">
      <c r="A239" s="262"/>
      <c r="B239" s="361">
        <v>1</v>
      </c>
      <c r="C239" s="975" t="s">
        <v>188</v>
      </c>
      <c r="D239" s="361" t="s">
        <v>70</v>
      </c>
      <c r="E239" s="974" t="s">
        <v>207</v>
      </c>
      <c r="F239" s="339"/>
      <c r="G239" s="261">
        <f>450-450</f>
        <v>0</v>
      </c>
      <c r="H239" s="261">
        <f>G239</f>
        <v>0</v>
      </c>
      <c r="I239" s="106"/>
      <c r="J239" s="106"/>
      <c r="K239" s="106"/>
      <c r="L239" s="106"/>
    </row>
    <row r="240" spans="1:12" ht="14.25" customHeight="1" x14ac:dyDescent="0.2">
      <c r="A240" s="262"/>
      <c r="B240" s="361">
        <v>2</v>
      </c>
      <c r="C240" s="975"/>
      <c r="D240" s="361" t="s">
        <v>71</v>
      </c>
      <c r="E240" s="974"/>
      <c r="F240" s="339"/>
      <c r="G240" s="261">
        <f>1500000+1687454</f>
        <v>3187454</v>
      </c>
      <c r="H240" s="261">
        <f>G240</f>
        <v>3187454</v>
      </c>
      <c r="I240" s="106"/>
      <c r="J240" s="106"/>
      <c r="K240" s="106"/>
      <c r="L240" s="106"/>
    </row>
    <row r="241" spans="1:12" ht="14.25" customHeight="1" x14ac:dyDescent="0.2">
      <c r="A241" s="973" t="s">
        <v>131</v>
      </c>
      <c r="B241" s="973"/>
      <c r="C241" s="973"/>
      <c r="D241" s="973"/>
      <c r="E241" s="973"/>
      <c r="F241" s="339">
        <v>0</v>
      </c>
      <c r="G241" s="339">
        <v>0</v>
      </c>
      <c r="H241" s="261">
        <f>F241+G241</f>
        <v>0</v>
      </c>
      <c r="I241" s="106"/>
      <c r="J241" s="106"/>
      <c r="K241" s="106"/>
      <c r="L241" s="106"/>
    </row>
    <row r="242" spans="1:12" ht="14.25" customHeight="1" x14ac:dyDescent="0.2">
      <c r="A242" s="973" t="s">
        <v>132</v>
      </c>
      <c r="B242" s="973"/>
      <c r="C242" s="973"/>
      <c r="D242" s="973"/>
      <c r="E242" s="973"/>
      <c r="F242" s="339">
        <v>0</v>
      </c>
      <c r="G242" s="339"/>
      <c r="H242" s="339">
        <f>G242</f>
        <v>0</v>
      </c>
      <c r="I242" s="106"/>
      <c r="J242" s="106"/>
      <c r="K242" s="106"/>
      <c r="L242" s="106"/>
    </row>
    <row r="243" spans="1:12" ht="14.25" customHeight="1" x14ac:dyDescent="0.2">
      <c r="A243" s="973" t="s">
        <v>133</v>
      </c>
      <c r="B243" s="973"/>
      <c r="C243" s="973"/>
      <c r="D243" s="973"/>
      <c r="E243" s="973"/>
      <c r="F243" s="339">
        <f>F245+F246+F247+F248+F244</f>
        <v>171667014</v>
      </c>
      <c r="G243" s="339">
        <f>G245+G246+G247+G248+G244</f>
        <v>279110289</v>
      </c>
      <c r="H243" s="339">
        <f>G243+F243</f>
        <v>450777303</v>
      </c>
      <c r="I243" s="106"/>
      <c r="J243" s="112"/>
      <c r="K243" s="106"/>
      <c r="L243" s="106"/>
    </row>
    <row r="244" spans="1:12" ht="12.75" customHeight="1" x14ac:dyDescent="0.2">
      <c r="A244" s="262"/>
      <c r="B244" s="361" t="s">
        <v>15</v>
      </c>
      <c r="C244" s="975" t="s">
        <v>162</v>
      </c>
      <c r="D244" s="361" t="s">
        <v>70</v>
      </c>
      <c r="E244" s="983" t="s">
        <v>252</v>
      </c>
      <c r="F244" s="586">
        <f>14407579</f>
        <v>14407579</v>
      </c>
      <c r="G244" s="583">
        <f>279110289</f>
        <v>279110289</v>
      </c>
      <c r="H244" s="339">
        <f>G244+F244</f>
        <v>293517868</v>
      </c>
      <c r="I244" s="106"/>
      <c r="J244" s="106"/>
      <c r="K244" s="106"/>
      <c r="L244" s="106"/>
    </row>
    <row r="245" spans="1:12" ht="11.25" customHeight="1" x14ac:dyDescent="0.2">
      <c r="A245" s="262"/>
      <c r="B245" s="361"/>
      <c r="C245" s="975"/>
      <c r="D245" s="361" t="s">
        <v>71</v>
      </c>
      <c r="E245" s="983"/>
      <c r="F245" s="261"/>
      <c r="G245" s="261"/>
      <c r="H245" s="339">
        <f>F245</f>
        <v>0</v>
      </c>
      <c r="I245" s="106"/>
      <c r="J245" s="106"/>
      <c r="K245" s="106"/>
      <c r="L245" s="106"/>
    </row>
    <row r="246" spans="1:12" ht="12.75" customHeight="1" x14ac:dyDescent="0.2">
      <c r="A246" s="262"/>
      <c r="B246" s="361"/>
      <c r="C246" s="975"/>
      <c r="D246" s="361" t="s">
        <v>92</v>
      </c>
      <c r="E246" s="983"/>
      <c r="F246" s="261"/>
      <c r="G246" s="261"/>
      <c r="H246" s="339">
        <f>F246</f>
        <v>0</v>
      </c>
      <c r="I246" s="106"/>
      <c r="J246" s="106"/>
      <c r="K246" s="106"/>
      <c r="L246" s="106"/>
    </row>
    <row r="247" spans="1:12" ht="12.75" customHeight="1" x14ac:dyDescent="0.2">
      <c r="A247" s="262"/>
      <c r="B247" s="361">
        <v>2</v>
      </c>
      <c r="C247" s="361" t="s">
        <v>234</v>
      </c>
      <c r="D247" s="361" t="s">
        <v>71</v>
      </c>
      <c r="E247" s="584" t="s">
        <v>235</v>
      </c>
      <c r="F247" s="261">
        <v>150000000</v>
      </c>
      <c r="G247" s="261">
        <v>0</v>
      </c>
      <c r="H247" s="339">
        <f>F247</f>
        <v>150000000</v>
      </c>
      <c r="I247" s="106"/>
      <c r="J247" s="112"/>
      <c r="K247" s="106"/>
      <c r="L247" s="106"/>
    </row>
    <row r="248" spans="1:12" ht="12.75" customHeight="1" x14ac:dyDescent="0.2">
      <c r="A248" s="262"/>
      <c r="B248" s="361" t="s">
        <v>17</v>
      </c>
      <c r="C248" s="361" t="s">
        <v>236</v>
      </c>
      <c r="D248" s="361" t="s">
        <v>70</v>
      </c>
      <c r="E248" s="585" t="s">
        <v>237</v>
      </c>
      <c r="F248" s="261">
        <v>7259435</v>
      </c>
      <c r="G248" s="261"/>
      <c r="H248" s="339">
        <f>F248</f>
        <v>7259435</v>
      </c>
      <c r="I248" s="106"/>
      <c r="J248" s="106"/>
      <c r="K248" s="106"/>
      <c r="L248" s="106"/>
    </row>
    <row r="249" spans="1:12" ht="14.25" customHeight="1" x14ac:dyDescent="0.2">
      <c r="A249" s="262"/>
      <c r="B249" s="361"/>
      <c r="C249" s="361"/>
      <c r="D249" s="361"/>
      <c r="E249" s="584"/>
      <c r="F249" s="261"/>
      <c r="G249" s="261"/>
      <c r="H249" s="339"/>
      <c r="I249" s="106"/>
      <c r="J249" s="106"/>
      <c r="K249" s="106"/>
      <c r="L249" s="106"/>
    </row>
    <row r="250" spans="1:12" ht="16.5" customHeight="1" x14ac:dyDescent="0.2">
      <c r="A250" s="984" t="s">
        <v>263</v>
      </c>
      <c r="B250" s="984"/>
      <c r="C250" s="984"/>
      <c r="D250" s="984"/>
      <c r="E250" s="984"/>
      <c r="F250" s="320">
        <f>F154+F199+F206+F218+F238+F241+F242+F243</f>
        <v>482978180</v>
      </c>
      <c r="G250" s="320">
        <f>G154+G199+G206+G218+G238+G241+G242+G243</f>
        <v>455094994</v>
      </c>
      <c r="H250" s="320">
        <f>F250+G250</f>
        <v>938073174</v>
      </c>
      <c r="I250" s="106"/>
      <c r="J250" s="106"/>
      <c r="K250" s="106"/>
      <c r="L250" s="106"/>
    </row>
    <row r="251" spans="1:12" s="30" customFormat="1" ht="14.25" customHeight="1" x14ac:dyDescent="0.2">
      <c r="A251" s="982" t="s">
        <v>95</v>
      </c>
      <c r="B251" s="982"/>
      <c r="C251" s="982"/>
      <c r="D251" s="982"/>
      <c r="E251" s="982"/>
      <c r="F251" s="734">
        <f>F156+F193+F194+F195+F196+F203+F214+F217+F219+F223+F229+F233+F237+F244+F248</f>
        <v>308676870</v>
      </c>
      <c r="G251" s="734">
        <f>G156+G193+G194+G195+G196+G203+G214+G217+G219+G223+G229+G233+G237+G244+G202</f>
        <v>431384502</v>
      </c>
      <c r="H251" s="734">
        <f>F251+G251</f>
        <v>740061372</v>
      </c>
      <c r="I251" s="113"/>
      <c r="J251" s="113"/>
      <c r="K251" s="109"/>
      <c r="L251" s="113"/>
    </row>
    <row r="252" spans="1:12" s="30" customFormat="1" ht="14.25" customHeight="1" x14ac:dyDescent="0.2">
      <c r="A252" s="986" t="s">
        <v>280</v>
      </c>
      <c r="B252" s="986"/>
      <c r="C252" s="986"/>
      <c r="D252" s="986"/>
      <c r="E252" s="986"/>
      <c r="F252" s="734"/>
      <c r="G252" s="734"/>
      <c r="H252" s="734">
        <f t="shared" ref="H252:H253" si="26">F252+G252</f>
        <v>0</v>
      </c>
      <c r="I252" s="113"/>
      <c r="J252" s="113"/>
      <c r="K252" s="109"/>
      <c r="L252" s="113"/>
    </row>
    <row r="253" spans="1:12" s="30" customFormat="1" ht="14.25" customHeight="1" x14ac:dyDescent="0.2">
      <c r="A253" s="846"/>
      <c r="B253" s="846"/>
      <c r="C253" s="846"/>
      <c r="D253" s="846"/>
      <c r="E253" s="847" t="s">
        <v>281</v>
      </c>
      <c r="F253" s="735">
        <f>F247+F228+F220+F213+F211+F198+F197</f>
        <v>174301310</v>
      </c>
      <c r="G253" s="735">
        <f>G247+G228+G220+G213+G211+G198+G197+G240</f>
        <v>23710492</v>
      </c>
      <c r="H253" s="734">
        <f t="shared" si="26"/>
        <v>198011802</v>
      </c>
      <c r="I253" s="199"/>
      <c r="J253" s="113"/>
      <c r="K253" s="109"/>
      <c r="L253" s="113"/>
    </row>
    <row r="254" spans="1:12" ht="14.25" customHeight="1" x14ac:dyDescent="0.2">
      <c r="A254" s="987" t="s">
        <v>240</v>
      </c>
      <c r="B254" s="987"/>
      <c r="C254" s="987"/>
      <c r="D254" s="987"/>
      <c r="E254" s="987"/>
      <c r="F254" s="736">
        <f>F250+F150</f>
        <v>497150133</v>
      </c>
      <c r="G254" s="736">
        <f>G250+G150</f>
        <v>455094994</v>
      </c>
      <c r="H254" s="736">
        <f>F254+G254</f>
        <v>952245127</v>
      </c>
      <c r="I254" s="106"/>
      <c r="J254" s="106"/>
      <c r="K254" s="106"/>
      <c r="L254" s="106"/>
    </row>
    <row r="255" spans="1:12" ht="14.25" customHeight="1" x14ac:dyDescent="0.2">
      <c r="A255" s="985" t="s">
        <v>95</v>
      </c>
      <c r="B255" s="985"/>
      <c r="C255" s="985"/>
      <c r="D255" s="985"/>
      <c r="E255" s="985"/>
      <c r="F255" s="736">
        <f>F251+F151</f>
        <v>320943823</v>
      </c>
      <c r="G255" s="736">
        <f>G251+G151</f>
        <v>431384502</v>
      </c>
      <c r="H255" s="736">
        <f>F255+G255</f>
        <v>752328325</v>
      </c>
      <c r="I255" s="106"/>
      <c r="J255" s="106"/>
      <c r="K255" s="106"/>
      <c r="L255" s="106"/>
    </row>
    <row r="256" spans="1:12" ht="14.25" customHeight="1" x14ac:dyDescent="0.2">
      <c r="A256" s="985" t="s">
        <v>93</v>
      </c>
      <c r="B256" s="985"/>
      <c r="C256" s="985"/>
      <c r="D256" s="985"/>
      <c r="E256" s="985"/>
      <c r="F256" s="736">
        <v>0</v>
      </c>
      <c r="G256" s="736">
        <v>0</v>
      </c>
      <c r="H256" s="736">
        <f>F256+G256</f>
        <v>0</v>
      </c>
      <c r="I256" s="106"/>
      <c r="J256" s="106"/>
      <c r="K256" s="106"/>
      <c r="L256" s="106"/>
    </row>
    <row r="257" spans="1:12" ht="14.25" customHeight="1" x14ac:dyDescent="0.2">
      <c r="A257" s="985" t="s">
        <v>94</v>
      </c>
      <c r="B257" s="985"/>
      <c r="C257" s="985"/>
      <c r="D257" s="985"/>
      <c r="E257" s="985"/>
      <c r="F257" s="736">
        <f>F253+F152</f>
        <v>176206310</v>
      </c>
      <c r="G257" s="736">
        <f>G253+G152</f>
        <v>23710492</v>
      </c>
      <c r="H257" s="736">
        <f>F257+G257</f>
        <v>199916802</v>
      </c>
      <c r="I257" s="106"/>
      <c r="J257" s="106"/>
      <c r="K257" s="106"/>
      <c r="L257" s="106"/>
    </row>
    <row r="258" spans="1:12" ht="15" customHeight="1" x14ac:dyDescent="0.2">
      <c r="A258" s="981" t="s">
        <v>134</v>
      </c>
      <c r="B258" s="981"/>
      <c r="C258" s="981"/>
      <c r="D258" s="981"/>
      <c r="E258" s="981"/>
      <c r="F258" s="981"/>
      <c r="G258" s="981"/>
      <c r="H258" s="981"/>
      <c r="I258" s="106"/>
      <c r="J258" s="106"/>
      <c r="K258" s="106"/>
      <c r="L258" s="106"/>
    </row>
    <row r="259" spans="1:12" ht="16.5" customHeight="1" x14ac:dyDescent="0.2">
      <c r="A259" s="348"/>
      <c r="B259" s="348"/>
      <c r="C259" s="351" t="s">
        <v>135</v>
      </c>
      <c r="D259" s="351"/>
      <c r="E259" s="351"/>
      <c r="F259" s="569"/>
      <c r="G259" s="569"/>
      <c r="H259" s="569"/>
      <c r="I259" s="106"/>
      <c r="J259" s="106"/>
      <c r="K259" s="106"/>
      <c r="L259" s="106"/>
    </row>
    <row r="260" spans="1:12" ht="12.75" customHeight="1" x14ac:dyDescent="0.2">
      <c r="A260" s="391" t="s">
        <v>15</v>
      </c>
      <c r="B260" s="391"/>
      <c r="C260" s="391" t="s">
        <v>136</v>
      </c>
      <c r="D260" s="391"/>
      <c r="E260" s="324" t="s">
        <v>25</v>
      </c>
      <c r="F260" s="261">
        <f>'5 kiadások'!E99</f>
        <v>166091682</v>
      </c>
      <c r="G260" s="261"/>
      <c r="H260" s="261">
        <f>F260+G260</f>
        <v>166091682</v>
      </c>
      <c r="I260" s="106"/>
      <c r="J260" s="106"/>
      <c r="K260" s="106"/>
      <c r="L260" s="106"/>
    </row>
    <row r="261" spans="1:12" ht="12.75" customHeight="1" x14ac:dyDescent="0.2">
      <c r="A261" s="391" t="s">
        <v>16</v>
      </c>
      <c r="B261" s="391"/>
      <c r="C261" s="391" t="s">
        <v>137</v>
      </c>
      <c r="D261" s="391"/>
      <c r="E261" s="324" t="s">
        <v>72</v>
      </c>
      <c r="F261" s="261">
        <f>'5 kiadások'!F99</f>
        <v>34267840.720000006</v>
      </c>
      <c r="G261" s="261"/>
      <c r="H261" s="261">
        <f>F261+G261</f>
        <v>34267840.720000006</v>
      </c>
      <c r="I261" s="106"/>
      <c r="J261" s="106"/>
      <c r="K261" s="106"/>
      <c r="L261" s="106"/>
    </row>
    <row r="262" spans="1:12" s="12" customFormat="1" ht="12.75" customHeight="1" x14ac:dyDescent="0.2">
      <c r="A262" s="391" t="s">
        <v>17</v>
      </c>
      <c r="B262" s="391"/>
      <c r="C262" s="391" t="s">
        <v>138</v>
      </c>
      <c r="D262" s="391"/>
      <c r="E262" s="324" t="s">
        <v>26</v>
      </c>
      <c r="F262" s="261">
        <f>'5 kiadások'!G99</f>
        <v>131164481</v>
      </c>
      <c r="G262" s="261"/>
      <c r="H262" s="261">
        <f>F262+G262</f>
        <v>131164481</v>
      </c>
      <c r="I262" s="109"/>
      <c r="J262" s="109"/>
      <c r="K262" s="109"/>
      <c r="L262" s="109"/>
    </row>
    <row r="263" spans="1:12" ht="12.75" customHeight="1" x14ac:dyDescent="0.2">
      <c r="A263" s="391" t="s">
        <v>18</v>
      </c>
      <c r="B263" s="391"/>
      <c r="C263" s="391" t="s">
        <v>139</v>
      </c>
      <c r="D263" s="391"/>
      <c r="E263" s="324" t="s">
        <v>66</v>
      </c>
      <c r="F263" s="261">
        <f>'5 kiadások'!H99</f>
        <v>3121000</v>
      </c>
      <c r="G263" s="261"/>
      <c r="H263" s="261">
        <f>F263+G263</f>
        <v>3121000</v>
      </c>
      <c r="I263" s="106"/>
      <c r="J263" s="106"/>
      <c r="K263" s="106"/>
      <c r="L263" s="106"/>
    </row>
    <row r="264" spans="1:12" s="12" customFormat="1" ht="12.75" customHeight="1" x14ac:dyDescent="0.2">
      <c r="A264" s="391" t="s">
        <v>19</v>
      </c>
      <c r="B264" s="391"/>
      <c r="C264" s="391" t="s">
        <v>140</v>
      </c>
      <c r="D264" s="391"/>
      <c r="E264" s="731" t="s">
        <v>64</v>
      </c>
      <c r="F264" s="261">
        <f>'5 kiadások'!I98+'5 kiadások'!J98+'5 kiadások'!K98-'5 kiadások'!I96-'5 kiadások'!J97</f>
        <v>98406427</v>
      </c>
      <c r="G264" s="261"/>
      <c r="H264" s="261">
        <f>F264+G264</f>
        <v>98406427</v>
      </c>
      <c r="I264" s="109"/>
      <c r="J264" s="109"/>
      <c r="K264" s="109"/>
      <c r="L264" s="109"/>
    </row>
    <row r="265" spans="1:12" ht="15.75" customHeight="1" x14ac:dyDescent="0.2">
      <c r="A265" s="978" t="s">
        <v>77</v>
      </c>
      <c r="B265" s="978"/>
      <c r="C265" s="978"/>
      <c r="D265" s="978"/>
      <c r="E265" s="978"/>
      <c r="F265" s="339">
        <f>SUM(F260:F264)</f>
        <v>433051430.72000003</v>
      </c>
      <c r="G265" s="339"/>
      <c r="H265" s="339">
        <f>SUM(H260:H264)</f>
        <v>433051430.72000003</v>
      </c>
      <c r="I265" s="106"/>
      <c r="J265" s="106"/>
      <c r="K265" s="106"/>
      <c r="L265" s="106"/>
    </row>
    <row r="266" spans="1:12" ht="17.25" customHeight="1" x14ac:dyDescent="0.2">
      <c r="A266" s="737"/>
      <c r="B266" s="737"/>
      <c r="C266" s="977" t="s">
        <v>141</v>
      </c>
      <c r="D266" s="977"/>
      <c r="E266" s="977"/>
      <c r="F266" s="339"/>
      <c r="G266" s="339"/>
      <c r="H266" s="339"/>
      <c r="I266" s="106"/>
      <c r="J266" s="106"/>
      <c r="K266" s="106"/>
      <c r="L266" s="106"/>
    </row>
    <row r="267" spans="1:12" ht="12" customHeight="1" x14ac:dyDescent="0.2">
      <c r="A267" s="738" t="s">
        <v>15</v>
      </c>
      <c r="B267" s="738"/>
      <c r="C267" s="738" t="s">
        <v>142</v>
      </c>
      <c r="D267" s="738"/>
      <c r="E267" s="739" t="s">
        <v>36</v>
      </c>
      <c r="F267" s="261"/>
      <c r="G267" s="261">
        <f>'6 beruházások'!D6</f>
        <v>301941418.5</v>
      </c>
      <c r="H267" s="261">
        <f>G267</f>
        <v>301941418.5</v>
      </c>
      <c r="I267" s="106"/>
      <c r="J267" s="106"/>
      <c r="K267" s="106"/>
      <c r="L267" s="106"/>
    </row>
    <row r="268" spans="1:12" ht="12" customHeight="1" x14ac:dyDescent="0.2">
      <c r="A268" s="738" t="s">
        <v>16</v>
      </c>
      <c r="B268" s="738"/>
      <c r="C268" s="738" t="s">
        <v>143</v>
      </c>
      <c r="D268" s="738"/>
      <c r="E268" s="739" t="s">
        <v>37</v>
      </c>
      <c r="F268" s="261"/>
      <c r="G268" s="261">
        <f>'6 beruházások'!D53</f>
        <v>59992842</v>
      </c>
      <c r="H268" s="261">
        <f>G268</f>
        <v>59992842</v>
      </c>
      <c r="I268" s="106"/>
      <c r="J268" s="106"/>
      <c r="K268" s="106"/>
      <c r="L268" s="106"/>
    </row>
    <row r="269" spans="1:12" ht="12" customHeight="1" x14ac:dyDescent="0.2">
      <c r="A269" s="738" t="s">
        <v>17</v>
      </c>
      <c r="B269" s="738"/>
      <c r="C269" s="738" t="s">
        <v>144</v>
      </c>
      <c r="D269" s="738"/>
      <c r="E269" s="739" t="s">
        <v>41</v>
      </c>
      <c r="F269" s="261"/>
      <c r="G269" s="261">
        <f>'6 beruházások'!D67</f>
        <v>0</v>
      </c>
      <c r="H269" s="261">
        <f>G269</f>
        <v>0</v>
      </c>
      <c r="I269" s="106"/>
      <c r="J269" s="106"/>
      <c r="K269" s="106"/>
      <c r="L269" s="106"/>
    </row>
    <row r="270" spans="1:12" ht="15.75" customHeight="1" x14ac:dyDescent="0.2">
      <c r="A270" s="978" t="s">
        <v>145</v>
      </c>
      <c r="B270" s="978"/>
      <c r="C270" s="978"/>
      <c r="D270" s="978"/>
      <c r="E270" s="978"/>
      <c r="F270" s="339"/>
      <c r="G270" s="339">
        <f>G267+G268+G269</f>
        <v>361934260.5</v>
      </c>
      <c r="H270" s="339">
        <f>H267+H268+H269</f>
        <v>361934260.5</v>
      </c>
      <c r="I270" s="106"/>
      <c r="J270" s="106"/>
      <c r="K270" s="106"/>
      <c r="L270" s="106"/>
    </row>
    <row r="271" spans="1:12" ht="16.5" customHeight="1" x14ac:dyDescent="0.2">
      <c r="A271" s="978" t="s">
        <v>146</v>
      </c>
      <c r="B271" s="978"/>
      <c r="C271" s="978"/>
      <c r="D271" s="978"/>
      <c r="E271" s="978"/>
      <c r="F271" s="339">
        <f>'5 kiadások'!I96+'5 kiadások'!J97</f>
        <v>157259435</v>
      </c>
      <c r="G271" s="339">
        <v>0</v>
      </c>
      <c r="H271" s="339">
        <f>G271+F271</f>
        <v>157259435</v>
      </c>
      <c r="I271" s="106"/>
      <c r="J271" s="106"/>
      <c r="K271" s="106"/>
      <c r="L271" s="106"/>
    </row>
    <row r="272" spans="1:12" ht="14.25" customHeight="1" x14ac:dyDescent="0.2">
      <c r="A272" s="979" t="s">
        <v>147</v>
      </c>
      <c r="B272" s="979"/>
      <c r="C272" s="979"/>
      <c r="D272" s="979"/>
      <c r="E272" s="979"/>
      <c r="F272" s="736">
        <f>F265+F270+F271</f>
        <v>590310865.72000003</v>
      </c>
      <c r="G272" s="736">
        <f>G265+G270+G271</f>
        <v>361934260.5</v>
      </c>
      <c r="H272" s="736">
        <f>H273+H274</f>
        <v>952245127.22000003</v>
      </c>
      <c r="I272" s="106"/>
      <c r="J272" s="106"/>
      <c r="K272" s="106"/>
      <c r="L272" s="106"/>
    </row>
    <row r="273" spans="1:12" s="26" customFormat="1" ht="13.5" customHeight="1" x14ac:dyDescent="0.2">
      <c r="A273" s="980" t="s">
        <v>148</v>
      </c>
      <c r="B273" s="980"/>
      <c r="C273" s="980"/>
      <c r="D273" s="980"/>
      <c r="E273" s="980"/>
      <c r="F273" s="905">
        <f>'5 kiadások'!L100+'5 kiadások'!P92</f>
        <v>554823441.51999998</v>
      </c>
      <c r="G273" s="905">
        <f>'5 kiadások'!O100+'5 kiadások'!M100</f>
        <v>360934260.5</v>
      </c>
      <c r="H273" s="905">
        <f>F273+G273</f>
        <v>915757702.01999998</v>
      </c>
      <c r="I273" s="108"/>
      <c r="J273" s="108"/>
      <c r="K273" s="108"/>
      <c r="L273" s="108"/>
    </row>
    <row r="274" spans="1:12" s="26" customFormat="1" ht="13.5" customHeight="1" x14ac:dyDescent="0.2">
      <c r="A274" s="976" t="s">
        <v>82</v>
      </c>
      <c r="B274" s="976"/>
      <c r="C274" s="976"/>
      <c r="D274" s="976"/>
      <c r="E274" s="976"/>
      <c r="F274" s="905">
        <f>'5 kiadások'!L102</f>
        <v>35487424.200000003</v>
      </c>
      <c r="G274" s="905">
        <f>'5 kiadások'!O102+'5 kiadások'!P102+'5 kiadások'!M102+'5 kiadások'!N102</f>
        <v>1000000</v>
      </c>
      <c r="H274" s="905">
        <f>F274+G274+1</f>
        <v>36487425.200000003</v>
      </c>
      <c r="I274" s="108"/>
      <c r="J274" s="108"/>
      <c r="K274" s="108"/>
      <c r="L274" s="108"/>
    </row>
    <row r="275" spans="1:12" s="26" customFormat="1" ht="15" customHeight="1" x14ac:dyDescent="0.2">
      <c r="A275" s="976" t="s">
        <v>149</v>
      </c>
      <c r="B275" s="976"/>
      <c r="C275" s="976"/>
      <c r="D275" s="976"/>
      <c r="E275" s="976"/>
      <c r="F275" s="905">
        <f>'5 kiadások'!L101</f>
        <v>0</v>
      </c>
      <c r="G275" s="905">
        <v>0</v>
      </c>
      <c r="H275" s="905">
        <f>F275+G275</f>
        <v>0</v>
      </c>
      <c r="I275" s="108"/>
      <c r="J275" s="108"/>
      <c r="K275" s="108"/>
      <c r="L275" s="108"/>
    </row>
    <row r="276" spans="1:12" ht="12" customHeight="1" x14ac:dyDescent="0.2">
      <c r="A276" s="362"/>
      <c r="F276" s="38"/>
      <c r="G276" s="38"/>
      <c r="H276" s="38"/>
    </row>
    <row r="277" spans="1:12" s="35" customFormat="1" ht="14.25" customHeight="1" x14ac:dyDescent="0.2">
      <c r="A277" s="362"/>
      <c r="B277" s="362"/>
      <c r="C277" s="362"/>
      <c r="D277" s="362"/>
      <c r="E277" s="363"/>
      <c r="F277" s="364"/>
      <c r="G277" s="364"/>
      <c r="H277" s="364"/>
      <c r="I277" s="10"/>
    </row>
    <row r="278" spans="1:12" ht="12" customHeight="1" x14ac:dyDescent="0.2">
      <c r="A278" s="362"/>
      <c r="F278" s="38"/>
      <c r="G278" s="38"/>
      <c r="H278" s="38"/>
    </row>
    <row r="279" spans="1:12" ht="12" customHeight="1" x14ac:dyDescent="0.2">
      <c r="A279" s="362"/>
      <c r="F279" s="38"/>
      <c r="G279" s="38"/>
      <c r="H279" s="38"/>
      <c r="I279" s="38"/>
    </row>
    <row r="280" spans="1:12" ht="12" customHeight="1" x14ac:dyDescent="0.2">
      <c r="F280" s="38"/>
      <c r="G280" s="38"/>
      <c r="H280" s="38"/>
    </row>
    <row r="281" spans="1:12" ht="12" customHeight="1" x14ac:dyDescent="0.2">
      <c r="F281" s="38"/>
      <c r="G281" s="38"/>
      <c r="H281" s="38"/>
    </row>
    <row r="282" spans="1:12" ht="12" customHeight="1" x14ac:dyDescent="0.2">
      <c r="F282" s="38"/>
      <c r="G282" s="38"/>
      <c r="H282" s="38"/>
    </row>
    <row r="283" spans="1:12" ht="12" customHeight="1" x14ac:dyDescent="0.2">
      <c r="F283" s="38"/>
      <c r="G283" s="38"/>
      <c r="H283" s="38"/>
    </row>
    <row r="284" spans="1:12" ht="12" customHeight="1" x14ac:dyDescent="0.2">
      <c r="F284" s="38"/>
      <c r="G284" s="38"/>
      <c r="H284" s="38"/>
    </row>
    <row r="285" spans="1:12" ht="12" customHeight="1" x14ac:dyDescent="0.2">
      <c r="E285" s="38"/>
      <c r="F285" s="38"/>
      <c r="G285" s="38"/>
      <c r="H285" s="38"/>
    </row>
    <row r="286" spans="1:12" ht="12" customHeight="1" x14ac:dyDescent="0.2">
      <c r="E286" s="38"/>
      <c r="F286" s="38"/>
      <c r="G286" s="38"/>
      <c r="H286" s="38"/>
    </row>
    <row r="287" spans="1:12" ht="12" customHeight="1" x14ac:dyDescent="0.2">
      <c r="E287" s="38"/>
      <c r="F287" s="38"/>
      <c r="G287" s="38"/>
      <c r="H287" s="38"/>
    </row>
    <row r="288" spans="1:12" ht="12" customHeight="1" x14ac:dyDescent="0.2">
      <c r="F288" s="38"/>
      <c r="G288" s="38"/>
      <c r="H288" s="38"/>
    </row>
    <row r="289" spans="6:8" ht="12" customHeight="1" x14ac:dyDescent="0.2">
      <c r="F289" s="38"/>
      <c r="G289" s="38"/>
      <c r="H289" s="38"/>
    </row>
  </sheetData>
  <mergeCells count="87">
    <mergeCell ref="B228:B229"/>
    <mergeCell ref="B226:B227"/>
    <mergeCell ref="A218:E218"/>
    <mergeCell ref="A215:E215"/>
    <mergeCell ref="E230:E231"/>
    <mergeCell ref="C220:C221"/>
    <mergeCell ref="E220:E221"/>
    <mergeCell ref="C222:C223"/>
    <mergeCell ref="E222:E223"/>
    <mergeCell ref="C230:C231"/>
    <mergeCell ref="C226:C227"/>
    <mergeCell ref="H4:H5"/>
    <mergeCell ref="C4:C5"/>
    <mergeCell ref="E4:E5"/>
    <mergeCell ref="A6:H6"/>
    <mergeCell ref="D7:H7"/>
    <mergeCell ref="D4:D5"/>
    <mergeCell ref="F4:F5"/>
    <mergeCell ref="A21:E21"/>
    <mergeCell ref="B232:B233"/>
    <mergeCell ref="A120:E120"/>
    <mergeCell ref="A188:E188"/>
    <mergeCell ref="E234:E235"/>
    <mergeCell ref="A156:E156"/>
    <mergeCell ref="A191:E191"/>
    <mergeCell ref="A190:E190"/>
    <mergeCell ref="E224:E225"/>
    <mergeCell ref="E232:E233"/>
    <mergeCell ref="A206:E206"/>
    <mergeCell ref="B230:B231"/>
    <mergeCell ref="B224:B225"/>
    <mergeCell ref="B222:B223"/>
    <mergeCell ref="E226:E227"/>
    <mergeCell ref="B234:B235"/>
    <mergeCell ref="A265:E265"/>
    <mergeCell ref="A258:H258"/>
    <mergeCell ref="A243:E243"/>
    <mergeCell ref="C244:C246"/>
    <mergeCell ref="A251:E251"/>
    <mergeCell ref="E244:E246"/>
    <mergeCell ref="A250:E250"/>
    <mergeCell ref="A255:E255"/>
    <mergeCell ref="A252:E252"/>
    <mergeCell ref="A257:E257"/>
    <mergeCell ref="A254:E254"/>
    <mergeCell ref="A256:E256"/>
    <mergeCell ref="A275:E275"/>
    <mergeCell ref="C266:E266"/>
    <mergeCell ref="A270:E270"/>
    <mergeCell ref="A271:E271"/>
    <mergeCell ref="A272:E272"/>
    <mergeCell ref="A273:E273"/>
    <mergeCell ref="A274:E274"/>
    <mergeCell ref="A242:E242"/>
    <mergeCell ref="A241:E241"/>
    <mergeCell ref="E239:E240"/>
    <mergeCell ref="E236:E237"/>
    <mergeCell ref="A238:E238"/>
    <mergeCell ref="C239:C240"/>
    <mergeCell ref="B236:B237"/>
    <mergeCell ref="C236:C237"/>
    <mergeCell ref="C234:C235"/>
    <mergeCell ref="C232:C233"/>
    <mergeCell ref="A8:E8"/>
    <mergeCell ref="E1:H1"/>
    <mergeCell ref="E228:E229"/>
    <mergeCell ref="C228:C229"/>
    <mergeCell ref="C224:C225"/>
    <mergeCell ref="A207:E207"/>
    <mergeCell ref="A208:E208"/>
    <mergeCell ref="G4:G5"/>
    <mergeCell ref="A199:E199"/>
    <mergeCell ref="B220:B221"/>
    <mergeCell ref="C216:C217"/>
    <mergeCell ref="E216:E217"/>
    <mergeCell ref="A210:E210"/>
    <mergeCell ref="A212:E212"/>
    <mergeCell ref="B72:B74"/>
    <mergeCell ref="C72:C74"/>
    <mergeCell ref="D72:D74"/>
    <mergeCell ref="A72:A74"/>
    <mergeCell ref="A209:E209"/>
    <mergeCell ref="A135:E135"/>
    <mergeCell ref="A189:E189"/>
    <mergeCell ref="A200:E200"/>
    <mergeCell ref="B203:E203"/>
    <mergeCell ref="A154:E154"/>
  </mergeCells>
  <phoneticPr fontId="41" type="noConversion"/>
  <printOptions horizontalCentered="1" verticalCentered="1"/>
  <pageMargins left="0.78740157480314965" right="0.78740157480314965" top="0.39370078740157483" bottom="0.39370078740157483" header="0.51181102362204722" footer="0.11811023622047245"/>
  <pageSetup paperSize="9" scale="85" fitToHeight="0" orientation="landscape" r:id="rId1"/>
  <headerFooter alignWithMargins="0"/>
  <rowBreaks count="1" manualBreakCount="1">
    <brk id="214" max="7" man="1"/>
  </rowBreaks>
  <ignoredErrors>
    <ignoredError sqref="H24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view="pageBreakPreview" zoomScale="80" zoomScaleSheetLayoutView="80" workbookViewId="0">
      <selection activeCell="N9" sqref="N9"/>
    </sheetView>
  </sheetViews>
  <sheetFormatPr defaultRowHeight="12.75" x14ac:dyDescent="0.2"/>
  <cols>
    <col min="1" max="1" width="5" customWidth="1"/>
    <col min="2" max="2" width="8.7109375" customWidth="1"/>
    <col min="3" max="3" width="17.5703125" style="14" customWidth="1"/>
    <col min="4" max="4" width="15.140625" customWidth="1"/>
    <col min="5" max="5" width="11.140625" customWidth="1"/>
    <col min="6" max="6" width="14.28515625" customWidth="1"/>
    <col min="7" max="7" width="8.85546875" customWidth="1"/>
    <col min="8" max="8" width="11.7109375" customWidth="1"/>
    <col min="9" max="9" width="11.85546875" customWidth="1"/>
    <col min="10" max="10" width="13" customWidth="1"/>
    <col min="11" max="11" width="15.42578125" customWidth="1"/>
    <col min="12" max="12" width="12.5703125" customWidth="1"/>
    <col min="13" max="13" width="11.85546875" customWidth="1"/>
    <col min="14" max="14" width="13.5703125" style="19" customWidth="1"/>
    <col min="16" max="16" width="10.7109375" bestFit="1" customWidth="1"/>
  </cols>
  <sheetData>
    <row r="1" spans="1:16" ht="15.75" customHeight="1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004"/>
      <c r="L1" s="1004"/>
      <c r="M1" s="1004"/>
      <c r="N1" s="1004"/>
    </row>
    <row r="2" spans="1:16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8"/>
    </row>
    <row r="3" spans="1:16" ht="54.75" customHeight="1" thickBo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007"/>
      <c r="N3" s="1007"/>
    </row>
    <row r="4" spans="1:16" ht="21" customHeight="1" x14ac:dyDescent="0.2">
      <c r="A4" s="1008" t="s">
        <v>42</v>
      </c>
      <c r="B4" s="1026" t="s">
        <v>201</v>
      </c>
      <c r="C4" s="1011" t="s">
        <v>208</v>
      </c>
      <c r="D4" s="1014" t="s">
        <v>209</v>
      </c>
      <c r="E4" s="1015"/>
      <c r="F4" s="1015"/>
      <c r="G4" s="1015"/>
      <c r="H4" s="1015"/>
      <c r="I4" s="1016"/>
      <c r="J4" s="1017" t="s">
        <v>210</v>
      </c>
      <c r="K4" s="1018"/>
      <c r="L4" s="1018"/>
      <c r="M4" s="1019"/>
      <c r="N4" s="1002" t="s">
        <v>30</v>
      </c>
    </row>
    <row r="5" spans="1:16" s="23" customFormat="1" ht="24" customHeight="1" x14ac:dyDescent="0.2">
      <c r="A5" s="1009"/>
      <c r="B5" s="1027"/>
      <c r="C5" s="1012"/>
      <c r="D5" s="1005" t="s">
        <v>177</v>
      </c>
      <c r="E5" s="1005" t="s">
        <v>179</v>
      </c>
      <c r="F5" s="1005" t="s">
        <v>175</v>
      </c>
      <c r="G5" s="1025" t="s">
        <v>232</v>
      </c>
      <c r="H5" s="1005" t="s">
        <v>178</v>
      </c>
      <c r="I5" s="1005" t="s">
        <v>176</v>
      </c>
      <c r="J5" s="1020"/>
      <c r="K5" s="1021"/>
      <c r="L5" s="1021"/>
      <c r="M5" s="1022"/>
      <c r="N5" s="1003"/>
    </row>
    <row r="6" spans="1:16" s="23" customFormat="1" ht="38.25" customHeight="1" x14ac:dyDescent="0.2">
      <c r="A6" s="1009"/>
      <c r="B6" s="1027"/>
      <c r="C6" s="1012"/>
      <c r="D6" s="1005"/>
      <c r="E6" s="1005"/>
      <c r="F6" s="1005"/>
      <c r="G6" s="1025"/>
      <c r="H6" s="1005"/>
      <c r="I6" s="1005"/>
      <c r="J6" s="1023" t="s">
        <v>193</v>
      </c>
      <c r="K6" s="1024"/>
      <c r="L6" s="1005" t="s">
        <v>229</v>
      </c>
      <c r="M6" s="1006"/>
      <c r="N6" s="1003"/>
    </row>
    <row r="7" spans="1:16" s="23" customFormat="1" ht="12.75" customHeight="1" x14ac:dyDescent="0.2">
      <c r="A7" s="1009"/>
      <c r="B7" s="1027"/>
      <c r="C7" s="1012"/>
      <c r="D7" s="1005"/>
      <c r="E7" s="1005"/>
      <c r="F7" s="1005"/>
      <c r="G7" s="1025"/>
      <c r="H7" s="1005"/>
      <c r="I7" s="1005"/>
      <c r="J7" s="1005" t="s">
        <v>67</v>
      </c>
      <c r="K7" s="1005" t="s">
        <v>28</v>
      </c>
      <c r="L7" s="1005" t="s">
        <v>28</v>
      </c>
      <c r="M7" s="1005" t="s">
        <v>67</v>
      </c>
      <c r="N7" s="1003"/>
    </row>
    <row r="8" spans="1:16" s="23" customFormat="1" ht="15" customHeight="1" x14ac:dyDescent="0.2">
      <c r="A8" s="1010"/>
      <c r="B8" s="1027"/>
      <c r="C8" s="1013"/>
      <c r="D8" s="1005"/>
      <c r="E8" s="1005"/>
      <c r="F8" s="1005"/>
      <c r="G8" s="1025"/>
      <c r="H8" s="1005"/>
      <c r="I8" s="1005"/>
      <c r="J8" s="1006"/>
      <c r="K8" s="1006"/>
      <c r="L8" s="1006"/>
      <c r="M8" s="1006"/>
      <c r="N8" s="1003"/>
    </row>
    <row r="9" spans="1:16" s="23" customFormat="1" ht="39" customHeight="1" x14ac:dyDescent="0.2">
      <c r="A9" s="212">
        <v>1</v>
      </c>
      <c r="B9" s="203"/>
      <c r="C9" s="204" t="s">
        <v>248</v>
      </c>
      <c r="D9" s="548">
        <f>D10+D11</f>
        <v>508000</v>
      </c>
      <c r="E9" s="548"/>
      <c r="F9" s="548">
        <f>F10+F11</f>
        <v>1806255</v>
      </c>
      <c r="G9" s="549">
        <f>'3 bevételek'!G126</f>
        <v>0</v>
      </c>
      <c r="H9" s="548"/>
      <c r="I9" s="548"/>
      <c r="J9" s="550">
        <f>J10+J11</f>
        <v>500000</v>
      </c>
      <c r="K9" s="550">
        <f>K10+K11</f>
        <v>53598016.600000001</v>
      </c>
      <c r="L9" s="550">
        <f t="shared" ref="L9" si="0">L10+L11</f>
        <v>53307</v>
      </c>
      <c r="M9" s="550"/>
      <c r="N9" s="207">
        <f>SUM(D9:M9)</f>
        <v>56465578.600000001</v>
      </c>
      <c r="P9" s="220"/>
    </row>
    <row r="10" spans="1:16" s="23" customFormat="1" ht="39" customHeight="1" x14ac:dyDescent="0.2">
      <c r="A10" s="202"/>
      <c r="B10" s="208" t="s">
        <v>70</v>
      </c>
      <c r="C10" s="209" t="s">
        <v>90</v>
      </c>
      <c r="D10" s="551">
        <f>'3 bevételek'!F52+'3 bevételek'!F112+'3 bevételek'!F88</f>
        <v>508000</v>
      </c>
      <c r="E10" s="548"/>
      <c r="F10" s="548">
        <f>'3 bevételek'!F13</f>
        <v>1806255</v>
      </c>
      <c r="G10" s="549">
        <f>'3 bevételek'!G127</f>
        <v>0</v>
      </c>
      <c r="H10" s="548"/>
      <c r="I10" s="548"/>
      <c r="J10" s="550">
        <f>'5 kiadások'!M11</f>
        <v>500000</v>
      </c>
      <c r="K10" s="552">
        <f>'5 kiadások'!Q9-D10-E10-F10-G10-H10-I10-J10-L10-M10</f>
        <v>53598016.600000001</v>
      </c>
      <c r="L10" s="550">
        <f>'3 bevételek'!F142</f>
        <v>53307</v>
      </c>
      <c r="M10" s="550"/>
      <c r="N10" s="207">
        <f>SUM(D10:M10)</f>
        <v>56465578.600000001</v>
      </c>
      <c r="P10" s="220"/>
    </row>
    <row r="11" spans="1:16" s="23" customFormat="1" ht="39" customHeight="1" x14ac:dyDescent="0.2">
      <c r="A11" s="202"/>
      <c r="B11" s="208" t="s">
        <v>71</v>
      </c>
      <c r="C11" s="209" t="s">
        <v>89</v>
      </c>
      <c r="D11" s="210">
        <v>0</v>
      </c>
      <c r="E11" s="393"/>
      <c r="F11" s="393"/>
      <c r="G11" s="205"/>
      <c r="H11" s="393"/>
      <c r="I11" s="393"/>
      <c r="J11" s="394"/>
      <c r="K11" s="206"/>
      <c r="L11" s="394"/>
      <c r="M11" s="394"/>
      <c r="N11" s="207"/>
    </row>
    <row r="12" spans="1:16" ht="40.5" customHeight="1" x14ac:dyDescent="0.2">
      <c r="A12" s="211">
        <v>2</v>
      </c>
      <c r="B12" s="537"/>
      <c r="C12" s="538" t="s">
        <v>225</v>
      </c>
      <c r="D12" s="539">
        <f>D13+D14</f>
        <v>11716792</v>
      </c>
      <c r="E12" s="540">
        <f t="shared" ref="E12:L12" si="1">E13+E14</f>
        <v>0</v>
      </c>
      <c r="F12" s="540">
        <f>F13+F14</f>
        <v>0</v>
      </c>
      <c r="G12" s="540">
        <f t="shared" si="1"/>
        <v>0</v>
      </c>
      <c r="H12" s="540">
        <f t="shared" si="1"/>
        <v>0</v>
      </c>
      <c r="I12" s="540">
        <f t="shared" si="1"/>
        <v>0</v>
      </c>
      <c r="J12" s="540">
        <f>J13+J14</f>
        <v>1750000</v>
      </c>
      <c r="K12" s="540">
        <f>K13+K14</f>
        <v>46696721.200000003</v>
      </c>
      <c r="L12" s="540">
        <f t="shared" si="1"/>
        <v>87599</v>
      </c>
      <c r="M12" s="540">
        <f>M13+M14</f>
        <v>0</v>
      </c>
      <c r="N12" s="541">
        <f>SUM(D12:M12)</f>
        <v>60251112.200000003</v>
      </c>
      <c r="O12" s="1000"/>
      <c r="P12" s="1001"/>
    </row>
    <row r="13" spans="1:16" s="29" customFormat="1" ht="26.25" customHeight="1" x14ac:dyDescent="0.2">
      <c r="A13" s="88"/>
      <c r="B13" s="531" t="s">
        <v>70</v>
      </c>
      <c r="C13" s="532" t="s">
        <v>90</v>
      </c>
      <c r="D13" s="533">
        <f>'3 bevételek'!F31+'3 bevételek'!F43+'3 bevételek'!F55+'3 bevételek'!F67+'3 bevételek'!F79+'3 bevételek'!F91+'3 bevételek'!F103+'3 bevételek'!F115</f>
        <v>9811792</v>
      </c>
      <c r="E13" s="534"/>
      <c r="F13" s="534"/>
      <c r="G13" s="534"/>
      <c r="H13" s="534">
        <v>0</v>
      </c>
      <c r="I13" s="534"/>
      <c r="J13" s="534">
        <f>'5 kiadások'!M17-'4 int-i bevételek '!G13-'4 int-i bevételek '!I13</f>
        <v>1250000</v>
      </c>
      <c r="K13" s="534">
        <f>30222197</f>
        <v>30222197</v>
      </c>
      <c r="L13" s="534">
        <f>'3 bevételek'!H145</f>
        <v>87599</v>
      </c>
      <c r="M13" s="534">
        <v>0</v>
      </c>
      <c r="N13" s="530">
        <f t="shared" ref="N13:N14" si="2">SUM(D13:M13)</f>
        <v>41371588</v>
      </c>
      <c r="P13" s="196"/>
    </row>
    <row r="14" spans="1:16" s="29" customFormat="1" ht="24" customHeight="1" x14ac:dyDescent="0.2">
      <c r="A14" s="208"/>
      <c r="B14" s="208" t="s">
        <v>71</v>
      </c>
      <c r="C14" s="209" t="s">
        <v>89</v>
      </c>
      <c r="D14" s="535">
        <f>'3 bevételek'!F32+'3 bevételek'!F44+'3 bevételek'!F56+'3 bevételek'!F68+'3 bevételek'!F80+'3 bevételek'!F92+'3 bevételek'!F104+'3 bevételek'!F116</f>
        <v>1905000</v>
      </c>
      <c r="E14" s="533"/>
      <c r="F14" s="533"/>
      <c r="G14" s="533"/>
      <c r="H14" s="533"/>
      <c r="I14" s="533"/>
      <c r="J14" s="533">
        <f>'5 kiadások'!M18-'4 int-i bevételek '!G14-'4 int-i bevételek '!I14</f>
        <v>500000</v>
      </c>
      <c r="K14" s="533">
        <f>'5 kiadások'!L18-'4 int-i bevételek '!D14</f>
        <v>16474524.199999999</v>
      </c>
      <c r="L14" s="533">
        <v>0</v>
      </c>
      <c r="M14" s="533">
        <v>0</v>
      </c>
      <c r="N14" s="536">
        <f t="shared" si="2"/>
        <v>18879524.199999999</v>
      </c>
      <c r="O14" s="197"/>
      <c r="P14" s="196"/>
    </row>
    <row r="15" spans="1:16" ht="42.75" customHeight="1" thickBot="1" x14ac:dyDescent="0.25">
      <c r="A15" s="86">
        <v>3</v>
      </c>
      <c r="B15" s="542" t="s">
        <v>70</v>
      </c>
      <c r="C15" s="543" t="s">
        <v>226</v>
      </c>
      <c r="D15" s="544">
        <f>'3 bevételek'!F105+'3 bevételek'!F117</f>
        <v>0</v>
      </c>
      <c r="E15" s="545"/>
      <c r="F15" s="545">
        <v>0</v>
      </c>
      <c r="G15" s="545"/>
      <c r="H15" s="545"/>
      <c r="I15" s="545">
        <v>0</v>
      </c>
      <c r="J15" s="545">
        <f>'5 kiadások'!M26</f>
        <v>500000</v>
      </c>
      <c r="K15" s="545">
        <f>'5 kiadások'!Q25-D15-L15-M15-J15</f>
        <v>57937634</v>
      </c>
      <c r="L15" s="545">
        <f>'3 bevételek'!F148</f>
        <v>0</v>
      </c>
      <c r="M15" s="546">
        <v>0</v>
      </c>
      <c r="N15" s="547">
        <f>SUM(D15:M15)</f>
        <v>58437634</v>
      </c>
      <c r="P15" s="24"/>
    </row>
    <row r="16" spans="1:16" ht="24" customHeight="1" thickTop="1" x14ac:dyDescent="0.2">
      <c r="A16" s="89"/>
      <c r="B16" s="553"/>
      <c r="C16" s="554" t="s">
        <v>262</v>
      </c>
      <c r="D16" s="555">
        <f>D12+D15+D9</f>
        <v>12224792</v>
      </c>
      <c r="E16" s="555">
        <f t="shared" ref="E16:I16" si="3">E12+E15+E9</f>
        <v>0</v>
      </c>
      <c r="F16" s="555">
        <f t="shared" si="3"/>
        <v>1806255</v>
      </c>
      <c r="G16" s="555">
        <f t="shared" si="3"/>
        <v>0</v>
      </c>
      <c r="H16" s="555">
        <f t="shared" si="3"/>
        <v>0</v>
      </c>
      <c r="I16" s="555">
        <f t="shared" si="3"/>
        <v>0</v>
      </c>
      <c r="J16" s="555">
        <f t="shared" ref="J16:M16" si="4">J12+J15</f>
        <v>2250000</v>
      </c>
      <c r="K16" s="555">
        <f>K17+K18</f>
        <v>158232371.79999998</v>
      </c>
      <c r="L16" s="555">
        <f>L17+L18</f>
        <v>140906</v>
      </c>
      <c r="M16" s="556">
        <f t="shared" si="4"/>
        <v>0</v>
      </c>
      <c r="N16" s="557">
        <f>N12+N15+N10</f>
        <v>175154324.80000001</v>
      </c>
      <c r="P16" s="24"/>
    </row>
    <row r="17" spans="1:16" ht="25.5" customHeight="1" x14ac:dyDescent="0.2">
      <c r="A17" s="90"/>
      <c r="B17" s="87" t="s">
        <v>70</v>
      </c>
      <c r="C17" s="532" t="s">
        <v>90</v>
      </c>
      <c r="D17" s="558">
        <f>D13+D15+D10</f>
        <v>10319792</v>
      </c>
      <c r="E17" s="558">
        <f t="shared" ref="E17:I17" si="5">E13+E15+E10</f>
        <v>0</v>
      </c>
      <c r="F17" s="558">
        <f t="shared" si="5"/>
        <v>1806255</v>
      </c>
      <c r="G17" s="558">
        <f t="shared" si="5"/>
        <v>0</v>
      </c>
      <c r="H17" s="558">
        <f t="shared" si="5"/>
        <v>0</v>
      </c>
      <c r="I17" s="558">
        <f t="shared" si="5"/>
        <v>0</v>
      </c>
      <c r="J17" s="558">
        <f>J13+J15+J10</f>
        <v>2250000</v>
      </c>
      <c r="K17" s="558">
        <f>K13+K15+K10</f>
        <v>141757847.59999999</v>
      </c>
      <c r="L17" s="559">
        <f>L13+L15+L10</f>
        <v>140906</v>
      </c>
      <c r="M17" s="560">
        <f t="shared" ref="M17" si="6">M13+M15</f>
        <v>0</v>
      </c>
      <c r="N17" s="536">
        <f>N13+N15+N10</f>
        <v>156274800.59999999</v>
      </c>
      <c r="O17" s="213"/>
      <c r="P17" s="213"/>
    </row>
    <row r="18" spans="1:16" ht="26.25" customHeight="1" thickBot="1" x14ac:dyDescent="0.25">
      <c r="A18" s="91"/>
      <c r="B18" s="561" t="s">
        <v>71</v>
      </c>
      <c r="C18" s="562" t="s">
        <v>89</v>
      </c>
      <c r="D18" s="563">
        <f>D14+D11</f>
        <v>1905000</v>
      </c>
      <c r="E18" s="563">
        <f t="shared" ref="E18:I18" si="7">E14+E11+E15</f>
        <v>0</v>
      </c>
      <c r="F18" s="563">
        <f t="shared" si="7"/>
        <v>0</v>
      </c>
      <c r="G18" s="563">
        <f t="shared" si="7"/>
        <v>0</v>
      </c>
      <c r="H18" s="563">
        <f t="shared" si="7"/>
        <v>0</v>
      </c>
      <c r="I18" s="563">
        <f t="shared" si="7"/>
        <v>0</v>
      </c>
      <c r="J18" s="563">
        <f t="shared" ref="J18:M18" si="8">J14</f>
        <v>500000</v>
      </c>
      <c r="K18" s="558">
        <f>K14+K11</f>
        <v>16474524.199999999</v>
      </c>
      <c r="L18" s="564">
        <f t="shared" si="8"/>
        <v>0</v>
      </c>
      <c r="M18" s="565">
        <f t="shared" si="8"/>
        <v>0</v>
      </c>
      <c r="N18" s="566">
        <f>N14</f>
        <v>18879524.199999999</v>
      </c>
      <c r="O18" s="24"/>
    </row>
    <row r="19" spans="1:16" x14ac:dyDescent="0.2">
      <c r="C19" s="201"/>
      <c r="D19" s="200"/>
      <c r="K19" s="24"/>
    </row>
    <row r="20" spans="1:16" x14ac:dyDescent="0.2">
      <c r="K20" s="24"/>
    </row>
    <row r="21" spans="1:16" x14ac:dyDescent="0.2">
      <c r="D21" s="24"/>
      <c r="H21" s="24"/>
      <c r="I21" s="24"/>
      <c r="J21" s="105"/>
      <c r="K21" s="24"/>
    </row>
    <row r="22" spans="1:16" x14ac:dyDescent="0.2">
      <c r="D22" s="24"/>
      <c r="E22" s="24"/>
      <c r="F22" s="24"/>
      <c r="G22" s="24"/>
      <c r="H22" s="24"/>
      <c r="I22" s="24"/>
      <c r="J22" s="24"/>
      <c r="K22" s="24"/>
    </row>
    <row r="23" spans="1:16" x14ac:dyDescent="0.2">
      <c r="H23" s="24"/>
      <c r="I23" s="24"/>
      <c r="J23" s="24"/>
      <c r="K23" s="24"/>
      <c r="L23" s="24"/>
    </row>
    <row r="24" spans="1:16" x14ac:dyDescent="0.2">
      <c r="D24" s="24"/>
      <c r="H24" s="24"/>
      <c r="I24" s="24"/>
      <c r="J24" s="24"/>
      <c r="K24" s="24"/>
    </row>
    <row r="25" spans="1:16" x14ac:dyDescent="0.2">
      <c r="D25" s="24"/>
      <c r="I25" s="24"/>
      <c r="J25" s="105"/>
      <c r="K25" s="105"/>
    </row>
    <row r="26" spans="1:16" x14ac:dyDescent="0.2">
      <c r="D26" s="24"/>
      <c r="I26" s="24"/>
      <c r="J26" s="105"/>
      <c r="K26" s="105"/>
    </row>
    <row r="27" spans="1:16" x14ac:dyDescent="0.2">
      <c r="D27" s="24"/>
      <c r="I27" s="24"/>
      <c r="J27" s="24"/>
      <c r="K27" s="24"/>
    </row>
    <row r="28" spans="1:16" x14ac:dyDescent="0.2">
      <c r="I28" s="24"/>
      <c r="J28" s="105"/>
      <c r="K28" s="24"/>
      <c r="M28" s="24"/>
    </row>
    <row r="29" spans="1:16" x14ac:dyDescent="0.2">
      <c r="J29" s="24"/>
      <c r="K29" s="24"/>
      <c r="M29" s="24"/>
    </row>
    <row r="30" spans="1:16" x14ac:dyDescent="0.2">
      <c r="J30" s="24"/>
      <c r="K30" s="24"/>
      <c r="M30" s="24"/>
    </row>
    <row r="31" spans="1:16" x14ac:dyDescent="0.2">
      <c r="J31" s="24"/>
      <c r="K31" s="24"/>
      <c r="M31" s="24"/>
    </row>
    <row r="32" spans="1:16" x14ac:dyDescent="0.2">
      <c r="I32" s="24"/>
      <c r="J32" s="105"/>
      <c r="K32" s="105"/>
    </row>
    <row r="33" spans="9:11" x14ac:dyDescent="0.2">
      <c r="I33" s="24"/>
      <c r="J33" s="24"/>
      <c r="K33" s="24"/>
    </row>
    <row r="34" spans="9:11" x14ac:dyDescent="0.2">
      <c r="I34" s="24"/>
      <c r="J34" s="24"/>
      <c r="K34" s="24"/>
    </row>
    <row r="35" spans="9:11" x14ac:dyDescent="0.2">
      <c r="K35" s="24"/>
    </row>
  </sheetData>
  <mergeCells count="21">
    <mergeCell ref="A4:A8"/>
    <mergeCell ref="C4:C8"/>
    <mergeCell ref="D4:I4"/>
    <mergeCell ref="J4:M5"/>
    <mergeCell ref="J6:K6"/>
    <mergeCell ref="J7:J8"/>
    <mergeCell ref="I5:I8"/>
    <mergeCell ref="E5:E8"/>
    <mergeCell ref="D5:D8"/>
    <mergeCell ref="F5:F8"/>
    <mergeCell ref="G5:G8"/>
    <mergeCell ref="H5:H8"/>
    <mergeCell ref="B4:B8"/>
    <mergeCell ref="O12:P12"/>
    <mergeCell ref="N4:N8"/>
    <mergeCell ref="K1:N1"/>
    <mergeCell ref="M7:M8"/>
    <mergeCell ref="L7:L8"/>
    <mergeCell ref="L6:M6"/>
    <mergeCell ref="M3:N3"/>
    <mergeCell ref="K7:K8"/>
  </mergeCells>
  <phoneticPr fontId="0" type="noConversion"/>
  <printOptions horizontalCentered="1" verticalCentered="1"/>
  <pageMargins left="0.59055118110236227" right="0.59055118110236227" top="0.98425196850393704" bottom="0.98425196850393704" header="0.51181102362204722" footer="0.51181102362204722"/>
  <pageSetup paperSize="9" scale="7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121"/>
  <sheetViews>
    <sheetView topLeftCell="A2" zoomScaleNormal="100" zoomScaleSheetLayoutView="124" workbookViewId="0">
      <pane xSplit="1" ySplit="6" topLeftCell="B8" activePane="bottomRight" state="frozen"/>
      <selection activeCell="A5" sqref="A5"/>
      <selection pane="topRight" activeCell="B5" sqref="B5"/>
      <selection pane="bottomLeft" activeCell="A8" sqref="A8"/>
      <selection pane="bottomRight" activeCell="Q8" sqref="Q8"/>
    </sheetView>
  </sheetViews>
  <sheetFormatPr defaultRowHeight="12.75" customHeight="1" x14ac:dyDescent="0.2"/>
  <cols>
    <col min="1" max="1" width="4" style="104" hidden="1" customWidth="1"/>
    <col min="2" max="2" width="5" style="20" customWidth="1"/>
    <col min="3" max="3" width="5.28515625" style="103" customWidth="1"/>
    <col min="4" max="4" width="32.5703125" style="378" customWidth="1"/>
    <col min="5" max="5" width="9.7109375" style="378" customWidth="1"/>
    <col min="6" max="6" width="8.85546875" style="378" customWidth="1"/>
    <col min="7" max="7" width="11.5703125" style="378" customWidth="1"/>
    <col min="8" max="8" width="9" style="378" customWidth="1"/>
    <col min="9" max="9" width="9.85546875" style="378" customWidth="1"/>
    <col min="10" max="10" width="9.140625" style="378" customWidth="1"/>
    <col min="11" max="11" width="9" style="378" customWidth="1"/>
    <col min="12" max="12" width="12.28515625" style="380" customWidth="1"/>
    <col min="13" max="13" width="12.42578125" style="378" customWidth="1"/>
    <col min="14" max="14" width="8.7109375" style="378" customWidth="1"/>
    <col min="15" max="15" width="9.5703125" style="378" customWidth="1"/>
    <col min="16" max="16" width="6.7109375" style="378" customWidth="1"/>
    <col min="17" max="17" width="9.7109375" style="380" customWidth="1"/>
    <col min="18" max="18" width="6.85546875" style="381" bestFit="1" customWidth="1"/>
    <col min="19" max="19" width="13" style="20" customWidth="1"/>
    <col min="20" max="20" width="10.42578125" style="20" customWidth="1"/>
    <col min="21" max="21" width="12.85546875" style="20" bestFit="1" customWidth="1"/>
    <col min="22" max="22" width="10.42578125" style="20" customWidth="1"/>
    <col min="23" max="23" width="10.42578125" style="20" bestFit="1" customWidth="1"/>
    <col min="24" max="24" width="9.42578125" style="20" bestFit="1" customWidth="1"/>
    <col min="25" max="16384" width="9.140625" style="20"/>
  </cols>
  <sheetData>
    <row r="1" spans="1:18" ht="12.75" hidden="1" customHeight="1" x14ac:dyDescent="0.2">
      <c r="A1" s="114"/>
      <c r="B1" s="115"/>
      <c r="C1" s="365"/>
      <c r="D1" s="366"/>
      <c r="E1" s="366"/>
      <c r="F1" s="366"/>
      <c r="G1" s="366"/>
      <c r="H1" s="366"/>
      <c r="I1" s="366"/>
      <c r="J1" s="366"/>
      <c r="K1" s="366"/>
      <c r="L1" s="367"/>
      <c r="M1" s="366"/>
      <c r="N1" s="1028"/>
      <c r="O1" s="1028"/>
      <c r="P1" s="1028"/>
      <c r="Q1" s="1028"/>
      <c r="R1" s="1028"/>
    </row>
    <row r="2" spans="1:18" ht="9.75" customHeight="1" x14ac:dyDescent="0.2">
      <c r="A2" s="114"/>
      <c r="B2" s="115"/>
      <c r="C2" s="365"/>
      <c r="D2" s="366"/>
      <c r="E2" s="366"/>
      <c r="F2" s="366"/>
      <c r="G2" s="366"/>
      <c r="H2" s="366"/>
      <c r="I2" s="366"/>
      <c r="J2" s="366"/>
      <c r="K2" s="366"/>
      <c r="L2" s="367"/>
      <c r="M2" s="366"/>
      <c r="N2" s="366"/>
      <c r="O2" s="366"/>
      <c r="P2" s="366"/>
      <c r="Q2" s="367"/>
      <c r="R2" s="368"/>
    </row>
    <row r="3" spans="1:18" ht="18.75" customHeight="1" x14ac:dyDescent="0.2">
      <c r="A3" s="397"/>
      <c r="B3" s="398"/>
      <c r="C3" s="365"/>
      <c r="D3" s="366"/>
      <c r="E3" s="366"/>
      <c r="F3" s="366"/>
      <c r="G3" s="366"/>
      <c r="H3" s="366"/>
      <c r="I3" s="366"/>
      <c r="J3" s="366"/>
      <c r="K3" s="366"/>
      <c r="L3" s="367"/>
      <c r="M3" s="366"/>
      <c r="N3" s="366"/>
      <c r="O3" s="366"/>
      <c r="P3" s="366"/>
      <c r="Q3" s="367"/>
      <c r="R3" s="368"/>
    </row>
    <row r="4" spans="1:18" ht="11.25" customHeight="1" thickBot="1" x14ac:dyDescent="0.25">
      <c r="A4" s="397"/>
      <c r="B4" s="398"/>
      <c r="C4" s="365"/>
      <c r="D4" s="366"/>
      <c r="E4" s="366"/>
      <c r="F4" s="366"/>
      <c r="G4" s="366"/>
      <c r="H4" s="366"/>
      <c r="I4" s="366"/>
      <c r="J4" s="366"/>
      <c r="K4" s="366"/>
      <c r="L4" s="367"/>
      <c r="M4" s="366"/>
      <c r="N4" s="366"/>
      <c r="O4" s="366"/>
      <c r="P4" s="366"/>
      <c r="Q4" s="369"/>
      <c r="R4" s="370"/>
    </row>
    <row r="5" spans="1:18" s="21" customFormat="1" ht="36" customHeight="1" x14ac:dyDescent="0.2">
      <c r="A5" s="1051" t="s">
        <v>42</v>
      </c>
      <c r="B5" s="1052"/>
      <c r="C5" s="1037" t="s">
        <v>202</v>
      </c>
      <c r="D5" s="371" t="s">
        <v>43</v>
      </c>
      <c r="E5" s="371" t="s">
        <v>44</v>
      </c>
      <c r="F5" s="372" t="s">
        <v>78</v>
      </c>
      <c r="G5" s="371" t="s">
        <v>45</v>
      </c>
      <c r="H5" s="372" t="s">
        <v>151</v>
      </c>
      <c r="I5" s="1048" t="s">
        <v>64</v>
      </c>
      <c r="J5" s="1049"/>
      <c r="K5" s="1050"/>
      <c r="L5" s="371" t="s">
        <v>28</v>
      </c>
      <c r="M5" s="371" t="s">
        <v>46</v>
      </c>
      <c r="N5" s="1043" t="s">
        <v>41</v>
      </c>
      <c r="O5" s="1044"/>
      <c r="P5" s="1045"/>
      <c r="Q5" s="371" t="s">
        <v>35</v>
      </c>
      <c r="R5" s="373" t="s">
        <v>47</v>
      </c>
    </row>
    <row r="6" spans="1:18" s="21" customFormat="1" ht="37.5" customHeight="1" x14ac:dyDescent="0.2">
      <c r="A6" s="1035" t="s">
        <v>48</v>
      </c>
      <c r="B6" s="1036"/>
      <c r="C6" s="1038"/>
      <c r="D6" s="374" t="s">
        <v>49</v>
      </c>
      <c r="E6" s="374" t="s">
        <v>65</v>
      </c>
      <c r="F6" s="849" t="s">
        <v>79</v>
      </c>
      <c r="G6" s="374" t="s">
        <v>50</v>
      </c>
      <c r="H6" s="849" t="s">
        <v>152</v>
      </c>
      <c r="I6" s="1046" t="s">
        <v>189</v>
      </c>
      <c r="J6" s="1055" t="s">
        <v>190</v>
      </c>
      <c r="K6" s="1055" t="s">
        <v>386</v>
      </c>
      <c r="L6" s="374" t="s">
        <v>51</v>
      </c>
      <c r="M6" s="374" t="s">
        <v>52</v>
      </c>
      <c r="N6" s="1046" t="s">
        <v>189</v>
      </c>
      <c r="O6" s="1055" t="s">
        <v>190</v>
      </c>
      <c r="P6" s="1055" t="s">
        <v>191</v>
      </c>
      <c r="Q6" s="374" t="s">
        <v>14</v>
      </c>
      <c r="R6" s="375" t="s">
        <v>53</v>
      </c>
    </row>
    <row r="7" spans="1:18" s="21" customFormat="1" ht="36.75" customHeight="1" thickBot="1" x14ac:dyDescent="0.25">
      <c r="A7" s="1053" t="s">
        <v>54</v>
      </c>
      <c r="B7" s="1054"/>
      <c r="C7" s="1039"/>
      <c r="D7" s="376"/>
      <c r="E7" s="376"/>
      <c r="F7" s="848" t="s">
        <v>80</v>
      </c>
      <c r="G7" s="376" t="s">
        <v>59</v>
      </c>
      <c r="H7" s="848" t="s">
        <v>153</v>
      </c>
      <c r="I7" s="1047"/>
      <c r="J7" s="1056"/>
      <c r="K7" s="1047"/>
      <c r="L7" s="376" t="s">
        <v>14</v>
      </c>
      <c r="M7" s="376" t="s">
        <v>55</v>
      </c>
      <c r="N7" s="1047"/>
      <c r="O7" s="1056"/>
      <c r="P7" s="1047"/>
      <c r="Q7" s="376"/>
      <c r="R7" s="377"/>
    </row>
    <row r="8" spans="1:18" s="21" customFormat="1" ht="11.25" thickBot="1" x14ac:dyDescent="0.25">
      <c r="A8" s="399" t="s">
        <v>15</v>
      </c>
      <c r="B8" s="1078"/>
      <c r="C8" s="1081"/>
      <c r="D8" s="265" t="s">
        <v>248</v>
      </c>
      <c r="E8" s="266">
        <f>E9+E10</f>
        <v>38190747</v>
      </c>
      <c r="F8" s="266">
        <f t="shared" ref="F8:K8" si="0">F9+F10</f>
        <v>7624643.6000000006</v>
      </c>
      <c r="G8" s="266">
        <f t="shared" si="0"/>
        <v>8634188</v>
      </c>
      <c r="H8" s="266">
        <f t="shared" si="0"/>
        <v>1516000</v>
      </c>
      <c r="I8" s="266">
        <f t="shared" si="0"/>
        <v>0</v>
      </c>
      <c r="J8" s="266">
        <f t="shared" si="0"/>
        <v>0</v>
      </c>
      <c r="K8" s="266">
        <f t="shared" si="0"/>
        <v>0</v>
      </c>
      <c r="L8" s="266">
        <f>SUM(E8:K8)</f>
        <v>55965578.600000001</v>
      </c>
      <c r="M8" s="266">
        <f>M9+M10</f>
        <v>500000</v>
      </c>
      <c r="N8" s="267">
        <f>N9+N10</f>
        <v>0</v>
      </c>
      <c r="O8" s="267">
        <f t="shared" ref="O8:P8" si="1">O9+O10</f>
        <v>0</v>
      </c>
      <c r="P8" s="267">
        <f t="shared" si="1"/>
        <v>0</v>
      </c>
      <c r="Q8" s="266">
        <f>Q9+Q10</f>
        <v>56465578.600000001</v>
      </c>
      <c r="R8" s="268">
        <f>R9+R10</f>
        <v>9.5</v>
      </c>
    </row>
    <row r="9" spans="1:18" s="21" customFormat="1" ht="10.5" customHeight="1" thickBot="1" x14ac:dyDescent="0.25">
      <c r="A9" s="400"/>
      <c r="B9" s="1079"/>
      <c r="C9" s="1082"/>
      <c r="D9" s="269" t="s">
        <v>81</v>
      </c>
      <c r="E9" s="270">
        <f>E11+E12+E13+E15</f>
        <v>38190747</v>
      </c>
      <c r="F9" s="270">
        <f t="shared" ref="F9:K9" si="2">F11+F12+F13+F15</f>
        <v>7624643.6000000006</v>
      </c>
      <c r="G9" s="270">
        <f t="shared" si="2"/>
        <v>8634188</v>
      </c>
      <c r="H9" s="270">
        <f t="shared" si="2"/>
        <v>1516000</v>
      </c>
      <c r="I9" s="270">
        <f t="shared" si="2"/>
        <v>0</v>
      </c>
      <c r="J9" s="270">
        <f t="shared" si="2"/>
        <v>0</v>
      </c>
      <c r="K9" s="270">
        <f t="shared" si="2"/>
        <v>0</v>
      </c>
      <c r="L9" s="266">
        <f t="shared" ref="L9:L15" si="3">SUM(E9:K9)</f>
        <v>55965578.600000001</v>
      </c>
      <c r="M9" s="270">
        <f>M11+M12+M13+M15</f>
        <v>500000</v>
      </c>
      <c r="N9" s="270">
        <f t="shared" ref="N9:P9" si="4">N11+N12+N13+N15</f>
        <v>0</v>
      </c>
      <c r="O9" s="270">
        <f t="shared" si="4"/>
        <v>0</v>
      </c>
      <c r="P9" s="270">
        <f t="shared" si="4"/>
        <v>0</v>
      </c>
      <c r="Q9" s="266">
        <f>SUM(L9:P9)</f>
        <v>56465578.600000001</v>
      </c>
      <c r="R9" s="271">
        <f>R11</f>
        <v>9.5</v>
      </c>
    </row>
    <row r="10" spans="1:18" s="21" customFormat="1" ht="11.25" customHeight="1" thickBot="1" x14ac:dyDescent="0.25">
      <c r="A10" s="401"/>
      <c r="B10" s="1080"/>
      <c r="C10" s="1083"/>
      <c r="D10" s="272" t="s">
        <v>82</v>
      </c>
      <c r="E10" s="266"/>
      <c r="F10" s="266"/>
      <c r="G10" s="266"/>
      <c r="H10" s="266"/>
      <c r="I10" s="266"/>
      <c r="J10" s="266"/>
      <c r="K10" s="266"/>
      <c r="L10" s="266">
        <f t="shared" si="3"/>
        <v>0</v>
      </c>
      <c r="M10" s="266">
        <v>0</v>
      </c>
      <c r="N10" s="267">
        <v>0</v>
      </c>
      <c r="O10" s="273"/>
      <c r="P10" s="267"/>
      <c r="Q10" s="266">
        <f t="shared" ref="Q10:Q15" si="5">SUM(L10:P10)</f>
        <v>0</v>
      </c>
      <c r="R10" s="268"/>
    </row>
    <row r="11" spans="1:18" s="21" customFormat="1" ht="11.25" x14ac:dyDescent="0.2">
      <c r="A11" s="402"/>
      <c r="B11" s="876">
        <v>1.1000000000000001</v>
      </c>
      <c r="C11" s="395" t="s">
        <v>70</v>
      </c>
      <c r="D11" s="396" t="s">
        <v>327</v>
      </c>
      <c r="E11" s="274">
        <f>37301647+114000-E12</f>
        <v>36958163</v>
      </c>
      <c r="F11" s="275">
        <f>E11*20%</f>
        <v>7391632.6000000006</v>
      </c>
      <c r="G11" s="274">
        <f>8500000-G12</f>
        <v>8283022</v>
      </c>
      <c r="H11" s="275"/>
      <c r="I11" s="275"/>
      <c r="J11" s="276"/>
      <c r="K11" s="275"/>
      <c r="L11" s="274">
        <f>SUM(E11:K11)</f>
        <v>52632817.600000001</v>
      </c>
      <c r="M11" s="274">
        <v>500000</v>
      </c>
      <c r="N11" s="275">
        <v>0</v>
      </c>
      <c r="O11" s="276">
        <v>0</v>
      </c>
      <c r="P11" s="275"/>
      <c r="Q11" s="274">
        <f>SUM(L11:P11)</f>
        <v>53132817.600000001</v>
      </c>
      <c r="R11" s="277">
        <v>9.5</v>
      </c>
    </row>
    <row r="12" spans="1:18" s="21" customFormat="1" ht="11.25" x14ac:dyDescent="0.2">
      <c r="A12" s="403"/>
      <c r="B12" s="877">
        <v>2</v>
      </c>
      <c r="C12" s="244" t="s">
        <v>70</v>
      </c>
      <c r="D12" s="283" t="s">
        <v>325</v>
      </c>
      <c r="E12" s="288">
        <v>457484</v>
      </c>
      <c r="F12" s="289">
        <v>91496</v>
      </c>
      <c r="G12" s="279">
        <v>216978</v>
      </c>
      <c r="H12" s="280"/>
      <c r="I12" s="280"/>
      <c r="J12" s="281"/>
      <c r="K12" s="280"/>
      <c r="L12" s="279">
        <f t="shared" si="3"/>
        <v>765958</v>
      </c>
      <c r="M12" s="279"/>
      <c r="N12" s="280"/>
      <c r="O12" s="281"/>
      <c r="P12" s="280"/>
      <c r="Q12" s="279">
        <f>L12+M12+N12+O12</f>
        <v>765958</v>
      </c>
      <c r="R12" s="282"/>
    </row>
    <row r="13" spans="1:18" s="21" customFormat="1" ht="11.25" x14ac:dyDescent="0.2">
      <c r="A13" s="403"/>
      <c r="B13" s="877">
        <v>3</v>
      </c>
      <c r="C13" s="244" t="s">
        <v>70</v>
      </c>
      <c r="D13" s="287" t="s">
        <v>326</v>
      </c>
      <c r="E13" s="288">
        <f>749000+21600+4500</f>
        <v>775100</v>
      </c>
      <c r="F13" s="289">
        <f>(21600+4500)*40%+(749000*17.5%)</f>
        <v>141515</v>
      </c>
      <c r="G13" s="279">
        <f>1050803-E13-F13</f>
        <v>134188</v>
      </c>
      <c r="H13" s="280"/>
      <c r="I13" s="280"/>
      <c r="J13" s="281"/>
      <c r="K13" s="280"/>
      <c r="L13" s="279">
        <f t="shared" si="3"/>
        <v>1050803</v>
      </c>
      <c r="M13" s="279"/>
      <c r="N13" s="280"/>
      <c r="O13" s="281"/>
      <c r="P13" s="280"/>
      <c r="Q13" s="279">
        <f>L13+M13+N13+O13</f>
        <v>1050803</v>
      </c>
      <c r="R13" s="282"/>
    </row>
    <row r="14" spans="1:18" s="21" customFormat="1" ht="21" x14ac:dyDescent="0.2">
      <c r="A14" s="403"/>
      <c r="B14" s="877"/>
      <c r="C14" s="243"/>
      <c r="D14" s="290" t="s">
        <v>98</v>
      </c>
      <c r="E14" s="279"/>
      <c r="F14" s="280"/>
      <c r="G14" s="279"/>
      <c r="H14" s="280">
        <f>H15</f>
        <v>1516000</v>
      </c>
      <c r="I14" s="280"/>
      <c r="J14" s="281"/>
      <c r="K14" s="280"/>
      <c r="L14" s="279">
        <f t="shared" si="3"/>
        <v>1516000</v>
      </c>
      <c r="M14" s="279"/>
      <c r="N14" s="280"/>
      <c r="O14" s="281"/>
      <c r="P14" s="280"/>
      <c r="Q14" s="279">
        <f t="shared" si="5"/>
        <v>1516000</v>
      </c>
      <c r="R14" s="291"/>
    </row>
    <row r="15" spans="1:18" s="21" customFormat="1" ht="12" thickBot="1" x14ac:dyDescent="0.25">
      <c r="A15" s="404"/>
      <c r="B15" s="878">
        <v>4</v>
      </c>
      <c r="C15" s="242" t="s">
        <v>70</v>
      </c>
      <c r="D15" s="292" t="s">
        <v>101</v>
      </c>
      <c r="E15" s="279"/>
      <c r="F15" s="280"/>
      <c r="G15" s="279"/>
      <c r="H15" s="293">
        <v>1516000</v>
      </c>
      <c r="I15" s="280"/>
      <c r="J15" s="281"/>
      <c r="K15" s="280"/>
      <c r="L15" s="294">
        <f t="shared" si="3"/>
        <v>1516000</v>
      </c>
      <c r="M15" s="284"/>
      <c r="N15" s="285"/>
      <c r="O15" s="286"/>
      <c r="P15" s="285"/>
      <c r="Q15" s="294">
        <f t="shared" si="5"/>
        <v>1516000</v>
      </c>
      <c r="R15" s="295"/>
    </row>
    <row r="16" spans="1:18" ht="21.75" thickBot="1" x14ac:dyDescent="0.25">
      <c r="A16" s="224" t="s">
        <v>16</v>
      </c>
      <c r="B16" s="225"/>
      <c r="C16" s="405"/>
      <c r="D16" s="511" t="s">
        <v>225</v>
      </c>
      <c r="E16" s="518">
        <f>E17+E18</f>
        <v>28641429</v>
      </c>
      <c r="F16" s="518">
        <f t="shared" ref="F16" si="6">F17+F18</f>
        <v>5668285.8000000007</v>
      </c>
      <c r="G16" s="518">
        <f>G17+G18</f>
        <v>24191397</v>
      </c>
      <c r="H16" s="518">
        <f t="shared" ref="H16:K16" si="7">H17+H18</f>
        <v>0</v>
      </c>
      <c r="I16" s="518">
        <f t="shared" si="7"/>
        <v>0</v>
      </c>
      <c r="J16" s="518">
        <f t="shared" si="7"/>
        <v>0</v>
      </c>
      <c r="K16" s="518">
        <f t="shared" si="7"/>
        <v>0</v>
      </c>
      <c r="L16" s="519">
        <f t="shared" ref="L16" si="8">SUM(E16:K16)</f>
        <v>58501111.799999997</v>
      </c>
      <c r="M16" s="519">
        <f>M17+M18</f>
        <v>1750000</v>
      </c>
      <c r="N16" s="519">
        <f t="shared" ref="N16:P16" si="9">N17+N18</f>
        <v>0</v>
      </c>
      <c r="O16" s="519">
        <f t="shared" si="9"/>
        <v>0</v>
      </c>
      <c r="P16" s="519">
        <f t="shared" si="9"/>
        <v>0</v>
      </c>
      <c r="Q16" s="518">
        <f>SUM(L16:P16)</f>
        <v>60251111.799999997</v>
      </c>
      <c r="R16" s="520">
        <f>R17+R18</f>
        <v>10</v>
      </c>
    </row>
    <row r="17" spans="1:18" ht="13.5" thickBot="1" x14ac:dyDescent="0.25">
      <c r="A17" s="226"/>
      <c r="B17" s="225"/>
      <c r="C17" s="599" t="s">
        <v>70</v>
      </c>
      <c r="D17" s="512" t="s">
        <v>81</v>
      </c>
      <c r="E17" s="518">
        <f>E20+E23</f>
        <v>16950813</v>
      </c>
      <c r="F17" s="518">
        <f>F20+F23-1</f>
        <v>3390162.6000000006</v>
      </c>
      <c r="G17" s="518">
        <f>G20+G23</f>
        <v>19780612</v>
      </c>
      <c r="H17" s="518">
        <f t="shared" ref="H17:K17" si="10">H20+H23</f>
        <v>0</v>
      </c>
      <c r="I17" s="518">
        <f t="shared" si="10"/>
        <v>0</v>
      </c>
      <c r="J17" s="518">
        <f t="shared" si="10"/>
        <v>0</v>
      </c>
      <c r="K17" s="518">
        <f t="shared" si="10"/>
        <v>0</v>
      </c>
      <c r="L17" s="518">
        <f>SUM(E17:K17)</f>
        <v>40121587.600000001</v>
      </c>
      <c r="M17" s="519">
        <f>M20+M23</f>
        <v>1250000</v>
      </c>
      <c r="N17" s="519"/>
      <c r="O17" s="519"/>
      <c r="P17" s="519"/>
      <c r="Q17" s="518">
        <f>SUM(L17:P17)</f>
        <v>41371587.600000001</v>
      </c>
      <c r="R17" s="520">
        <f>R20+R23</f>
        <v>6.5</v>
      </c>
    </row>
    <row r="18" spans="1:18" ht="13.5" thickBot="1" x14ac:dyDescent="0.25">
      <c r="A18" s="224"/>
      <c r="B18" s="227"/>
      <c r="C18" s="600" t="s">
        <v>71</v>
      </c>
      <c r="D18" s="513" t="s">
        <v>82</v>
      </c>
      <c r="E18" s="521">
        <f>E21+E24</f>
        <v>11690616</v>
      </c>
      <c r="F18" s="521">
        <f>F21+F24</f>
        <v>2278123.2000000002</v>
      </c>
      <c r="G18" s="521">
        <f>G21+G24</f>
        <v>4410785</v>
      </c>
      <c r="H18" s="521">
        <f t="shared" ref="H18:K18" si="11">H21+H24</f>
        <v>0</v>
      </c>
      <c r="I18" s="521">
        <f t="shared" si="11"/>
        <v>0</v>
      </c>
      <c r="J18" s="521">
        <f t="shared" si="11"/>
        <v>0</v>
      </c>
      <c r="K18" s="521">
        <f t="shared" si="11"/>
        <v>0</v>
      </c>
      <c r="L18" s="518">
        <f>SUM(E18:K18)</f>
        <v>18379524.199999999</v>
      </c>
      <c r="M18" s="519">
        <f>M21+M24</f>
        <v>500000</v>
      </c>
      <c r="N18" s="519"/>
      <c r="O18" s="519"/>
      <c r="P18" s="519"/>
      <c r="Q18" s="518">
        <f>SUM(L18:P18)</f>
        <v>18879524.199999999</v>
      </c>
      <c r="R18" s="520">
        <f>R21+R24</f>
        <v>3.5</v>
      </c>
    </row>
    <row r="19" spans="1:18" ht="13.5" thickBot="1" x14ac:dyDescent="0.25">
      <c r="A19" s="248"/>
      <c r="B19" s="858"/>
      <c r="C19" s="601"/>
      <c r="D19" s="514" t="s">
        <v>305</v>
      </c>
      <c r="E19" s="522">
        <f>E20+E21</f>
        <v>20031335</v>
      </c>
      <c r="F19" s="522">
        <f t="shared" ref="F19" si="12">F20+F21</f>
        <v>3946267.0000000005</v>
      </c>
      <c r="G19" s="522">
        <f>G20+G21</f>
        <v>8274229</v>
      </c>
      <c r="H19" s="522">
        <f t="shared" ref="H19:K19" si="13">H20+H21</f>
        <v>0</v>
      </c>
      <c r="I19" s="522">
        <f t="shared" si="13"/>
        <v>0</v>
      </c>
      <c r="J19" s="522">
        <f t="shared" si="13"/>
        <v>0</v>
      </c>
      <c r="K19" s="522">
        <f t="shared" si="13"/>
        <v>0</v>
      </c>
      <c r="L19" s="522">
        <f>SUM(E19:K19)</f>
        <v>32251831</v>
      </c>
      <c r="M19" s="523">
        <f>M20+M21</f>
        <v>500000</v>
      </c>
      <c r="N19" s="523"/>
      <c r="O19" s="523"/>
      <c r="P19" s="524"/>
      <c r="Q19" s="525">
        <f t="shared" ref="Q19:Q24" si="14">SUM(L19:P19)</f>
        <v>32751831</v>
      </c>
      <c r="R19" s="636"/>
    </row>
    <row r="20" spans="1:18" ht="13.5" thickBot="1" x14ac:dyDescent="0.25">
      <c r="A20" s="248"/>
      <c r="B20" s="764"/>
      <c r="C20" s="602" t="s">
        <v>70</v>
      </c>
      <c r="D20" s="515" t="s">
        <v>81</v>
      </c>
      <c r="E20" s="526">
        <v>9377091</v>
      </c>
      <c r="F20" s="526">
        <f>E20*20%</f>
        <v>1875418.2000000002</v>
      </c>
      <c r="G20" s="526">
        <f>613444+3700000+150000</f>
        <v>4463444</v>
      </c>
      <c r="H20" s="526"/>
      <c r="I20" s="526"/>
      <c r="J20" s="526"/>
      <c r="K20" s="526"/>
      <c r="L20" s="526">
        <f t="shared" ref="L20:L24" si="15">SUM(E20:K20)</f>
        <v>15715953.199999999</v>
      </c>
      <c r="M20" s="527">
        <v>250000</v>
      </c>
      <c r="N20" s="527"/>
      <c r="O20" s="527"/>
      <c r="P20" s="528"/>
      <c r="Q20" s="526">
        <f t="shared" si="14"/>
        <v>15965953.199999999</v>
      </c>
      <c r="R20" s="859">
        <v>3.5</v>
      </c>
    </row>
    <row r="21" spans="1:18" ht="13.5" thickBot="1" x14ac:dyDescent="0.25">
      <c r="A21" s="248"/>
      <c r="B21" s="764"/>
      <c r="C21" s="602" t="s">
        <v>71</v>
      </c>
      <c r="D21" s="516" t="s">
        <v>82</v>
      </c>
      <c r="E21" s="526">
        <f>9768584+835660+50000</f>
        <v>10654244</v>
      </c>
      <c r="F21" s="526">
        <f>E21*20%-50000-10000</f>
        <v>2070848.8000000003</v>
      </c>
      <c r="G21" s="526">
        <f>300000+3500000+10785</f>
        <v>3810785</v>
      </c>
      <c r="H21" s="526"/>
      <c r="I21" s="526"/>
      <c r="J21" s="526"/>
      <c r="K21" s="526"/>
      <c r="L21" s="526">
        <f t="shared" si="15"/>
        <v>16535877.800000001</v>
      </c>
      <c r="M21" s="527">
        <v>250000</v>
      </c>
      <c r="N21" s="527"/>
      <c r="O21" s="527"/>
      <c r="P21" s="528"/>
      <c r="Q21" s="526">
        <f t="shared" si="14"/>
        <v>16785877.800000001</v>
      </c>
      <c r="R21" s="859">
        <v>3</v>
      </c>
    </row>
    <row r="22" spans="1:18" ht="13.5" thickBot="1" x14ac:dyDescent="0.25">
      <c r="A22" s="248"/>
      <c r="B22" s="764"/>
      <c r="C22" s="602"/>
      <c r="D22" s="517" t="s">
        <v>247</v>
      </c>
      <c r="E22" s="526">
        <f>E23+E24</f>
        <v>8610094</v>
      </c>
      <c r="F22" s="526">
        <f>F23+F24-1</f>
        <v>1722018.8000000003</v>
      </c>
      <c r="G22" s="526">
        <f t="shared" ref="G22" si="16">G23+G24</f>
        <v>15917168</v>
      </c>
      <c r="H22" s="526">
        <f t="shared" ref="H22:K22" si="17">H23+H24</f>
        <v>0</v>
      </c>
      <c r="I22" s="526">
        <f t="shared" si="17"/>
        <v>0</v>
      </c>
      <c r="J22" s="526">
        <f t="shared" si="17"/>
        <v>0</v>
      </c>
      <c r="K22" s="526">
        <f t="shared" si="17"/>
        <v>0</v>
      </c>
      <c r="L22" s="526">
        <f t="shared" si="15"/>
        <v>26249280.800000001</v>
      </c>
      <c r="M22" s="527">
        <f>M23+M24</f>
        <v>1250000</v>
      </c>
      <c r="N22" s="527"/>
      <c r="O22" s="527"/>
      <c r="P22" s="528"/>
      <c r="Q22" s="526">
        <f t="shared" si="14"/>
        <v>27499280.800000001</v>
      </c>
      <c r="R22" s="859"/>
    </row>
    <row r="23" spans="1:18" ht="13.5" thickBot="1" x14ac:dyDescent="0.25">
      <c r="A23" s="248"/>
      <c r="B23" s="764"/>
      <c r="C23" s="602" t="s">
        <v>70</v>
      </c>
      <c r="D23" s="515" t="s">
        <v>81</v>
      </c>
      <c r="E23" s="526">
        <v>7573722</v>
      </c>
      <c r="F23" s="526">
        <f>E23*20%+1</f>
        <v>1514745.4000000001</v>
      </c>
      <c r="G23" s="526">
        <f>15317168</f>
        <v>15317168</v>
      </c>
      <c r="H23" s="526"/>
      <c r="I23" s="526"/>
      <c r="J23" s="526"/>
      <c r="K23" s="526"/>
      <c r="L23" s="526">
        <f t="shared" si="15"/>
        <v>24405635.399999999</v>
      </c>
      <c r="M23" s="527">
        <v>1000000</v>
      </c>
      <c r="N23" s="527"/>
      <c r="O23" s="527"/>
      <c r="P23" s="528"/>
      <c r="Q23" s="526">
        <f t="shared" si="14"/>
        <v>25405635.399999999</v>
      </c>
      <c r="R23" s="859">
        <v>3</v>
      </c>
    </row>
    <row r="24" spans="1:18" ht="13.5" thickBot="1" x14ac:dyDescent="0.25">
      <c r="A24" s="248"/>
      <c r="B24" s="858"/>
      <c r="C24" s="765" t="s">
        <v>71</v>
      </c>
      <c r="D24" s="766" t="s">
        <v>82</v>
      </c>
      <c r="E24" s="529">
        <v>1036372</v>
      </c>
      <c r="F24" s="529">
        <f>E24*20%</f>
        <v>207274.40000000002</v>
      </c>
      <c r="G24" s="529">
        <v>600000</v>
      </c>
      <c r="H24" s="529"/>
      <c r="I24" s="529"/>
      <c r="J24" s="529"/>
      <c r="K24" s="529"/>
      <c r="L24" s="529">
        <f t="shared" si="15"/>
        <v>1843646.4</v>
      </c>
      <c r="M24" s="767">
        <v>250000</v>
      </c>
      <c r="N24" s="767"/>
      <c r="O24" s="767"/>
      <c r="P24" s="768"/>
      <c r="Q24" s="529">
        <f t="shared" si="14"/>
        <v>2093646.4</v>
      </c>
      <c r="R24" s="860">
        <v>0.5</v>
      </c>
    </row>
    <row r="25" spans="1:18" ht="11.25" customHeight="1" thickBot="1" x14ac:dyDescent="0.25">
      <c r="A25" s="409" t="s">
        <v>17</v>
      </c>
      <c r="B25" s="406"/>
      <c r="C25" s="769"/>
      <c r="D25" s="770" t="s">
        <v>226</v>
      </c>
      <c r="E25" s="300">
        <f>E26+E27</f>
        <v>44114695</v>
      </c>
      <c r="F25" s="300">
        <f t="shared" ref="F25:K25" si="18">F26+F27</f>
        <v>8822939</v>
      </c>
      <c r="G25" s="300">
        <f>G26+G27</f>
        <v>5000000</v>
      </c>
      <c r="H25" s="300">
        <f t="shared" si="18"/>
        <v>0</v>
      </c>
      <c r="I25" s="300">
        <f t="shared" si="18"/>
        <v>0</v>
      </c>
      <c r="J25" s="300">
        <f t="shared" si="18"/>
        <v>0</v>
      </c>
      <c r="K25" s="300">
        <f t="shared" si="18"/>
        <v>0</v>
      </c>
      <c r="L25" s="300">
        <f>SUM(E25:K25)</f>
        <v>57937634</v>
      </c>
      <c r="M25" s="300">
        <f>M26+M27</f>
        <v>500000</v>
      </c>
      <c r="N25" s="300">
        <f t="shared" ref="N25:P25" si="19">N26+N27</f>
        <v>0</v>
      </c>
      <c r="O25" s="300">
        <f t="shared" si="19"/>
        <v>0</v>
      </c>
      <c r="P25" s="300">
        <f t="shared" si="19"/>
        <v>0</v>
      </c>
      <c r="Q25" s="301">
        <f>SUM(L25:P25)</f>
        <v>58437634</v>
      </c>
      <c r="R25" s="271">
        <v>14</v>
      </c>
    </row>
    <row r="26" spans="1:18" ht="11.25" customHeight="1" thickBot="1" x14ac:dyDescent="0.25">
      <c r="A26" s="407"/>
      <c r="B26" s="408"/>
      <c r="C26" s="233" t="s">
        <v>70</v>
      </c>
      <c r="D26" s="297" t="s">
        <v>81</v>
      </c>
      <c r="E26" s="298">
        <f>44114695</f>
        <v>44114695</v>
      </c>
      <c r="F26" s="298">
        <f>E26*20%</f>
        <v>8822939</v>
      </c>
      <c r="G26" s="299">
        <v>5000000</v>
      </c>
      <c r="H26" s="299"/>
      <c r="I26" s="298"/>
      <c r="J26" s="298"/>
      <c r="K26" s="298">
        <v>0</v>
      </c>
      <c r="L26" s="300">
        <f t="shared" ref="L26:L27" si="20">SUM(E26:K26)</f>
        <v>57937634</v>
      </c>
      <c r="M26" s="298">
        <v>500000</v>
      </c>
      <c r="N26" s="298"/>
      <c r="O26" s="298"/>
      <c r="P26" s="298"/>
      <c r="Q26" s="301">
        <f t="shared" ref="Q26:Q27" si="21">SUM(L26:P26)</f>
        <v>58437634</v>
      </c>
      <c r="R26" s="302">
        <v>14</v>
      </c>
    </row>
    <row r="27" spans="1:18" ht="11.25" customHeight="1" thickBot="1" x14ac:dyDescent="0.25">
      <c r="A27" s="409"/>
      <c r="B27" s="410"/>
      <c r="C27" s="234" t="s">
        <v>71</v>
      </c>
      <c r="D27" s="303" t="s">
        <v>82</v>
      </c>
      <c r="E27" s="300">
        <v>0</v>
      </c>
      <c r="F27" s="300">
        <v>0</v>
      </c>
      <c r="G27" s="301">
        <v>0</v>
      </c>
      <c r="H27" s="301"/>
      <c r="I27" s="300"/>
      <c r="J27" s="300"/>
      <c r="K27" s="300"/>
      <c r="L27" s="300">
        <f t="shared" si="20"/>
        <v>0</v>
      </c>
      <c r="M27" s="300"/>
      <c r="N27" s="300"/>
      <c r="O27" s="300"/>
      <c r="P27" s="300"/>
      <c r="Q27" s="301">
        <f t="shared" si="21"/>
        <v>0</v>
      </c>
      <c r="R27" s="271">
        <v>0</v>
      </c>
    </row>
    <row r="28" spans="1:18" ht="12.75" customHeight="1" thickBot="1" x14ac:dyDescent="0.25">
      <c r="A28" s="1040" t="s">
        <v>253</v>
      </c>
      <c r="B28" s="1041"/>
      <c r="C28" s="1041"/>
      <c r="D28" s="1042"/>
      <c r="E28" s="587">
        <f>SUM(E29:E31)</f>
        <v>110946871</v>
      </c>
      <c r="F28" s="587">
        <f t="shared" ref="F28:K28" si="22">SUM(F29:F31)</f>
        <v>22115869.400000002</v>
      </c>
      <c r="G28" s="587">
        <f t="shared" si="22"/>
        <v>37825585</v>
      </c>
      <c r="H28" s="587">
        <f t="shared" si="22"/>
        <v>1516000</v>
      </c>
      <c r="I28" s="587">
        <f t="shared" si="22"/>
        <v>0</v>
      </c>
      <c r="J28" s="587">
        <f t="shared" si="22"/>
        <v>0</v>
      </c>
      <c r="K28" s="587">
        <f t="shared" si="22"/>
        <v>0</v>
      </c>
      <c r="L28" s="588">
        <f>SUM(E28:K28)</f>
        <v>172404325.40000001</v>
      </c>
      <c r="M28" s="587">
        <f>M29+M30+M31</f>
        <v>2750000</v>
      </c>
      <c r="N28" s="587">
        <f>N29+N30</f>
        <v>0</v>
      </c>
      <c r="O28" s="587">
        <f>O16+O25</f>
        <v>0</v>
      </c>
      <c r="P28" s="587">
        <f>P16+P25</f>
        <v>0</v>
      </c>
      <c r="Q28" s="587">
        <f>L28+M28</f>
        <v>175154325.40000001</v>
      </c>
      <c r="R28" s="589">
        <f>R29+R31</f>
        <v>33.5</v>
      </c>
    </row>
    <row r="29" spans="1:18" s="25" customFormat="1" ht="12.75" customHeight="1" thickBot="1" x14ac:dyDescent="0.25">
      <c r="A29" s="1029" t="s">
        <v>81</v>
      </c>
      <c r="B29" s="1030"/>
      <c r="C29" s="1030"/>
      <c r="D29" s="1031"/>
      <c r="E29" s="590">
        <f t="shared" ref="E29:K29" si="23">E17+E9+E26</f>
        <v>99256255</v>
      </c>
      <c r="F29" s="590">
        <f>F17+F9+F26+1</f>
        <v>19837746.200000003</v>
      </c>
      <c r="G29" s="590">
        <f t="shared" si="23"/>
        <v>33414800</v>
      </c>
      <c r="H29" s="590">
        <f t="shared" si="23"/>
        <v>1516000</v>
      </c>
      <c r="I29" s="590">
        <f t="shared" si="23"/>
        <v>0</v>
      </c>
      <c r="J29" s="590">
        <f t="shared" si="23"/>
        <v>0</v>
      </c>
      <c r="K29" s="590">
        <f t="shared" si="23"/>
        <v>0</v>
      </c>
      <c r="L29" s="591">
        <f>SUM(E29:K29)</f>
        <v>154024801.19999999</v>
      </c>
      <c r="M29" s="590">
        <f>M9+M17+M26</f>
        <v>2250000</v>
      </c>
      <c r="N29" s="590">
        <f>N17+N26</f>
        <v>0</v>
      </c>
      <c r="O29" s="590">
        <f>O25</f>
        <v>0</v>
      </c>
      <c r="P29" s="590">
        <f>+P25</f>
        <v>0</v>
      </c>
      <c r="Q29" s="590">
        <f>SUM(L29:P29)</f>
        <v>156274801.19999999</v>
      </c>
      <c r="R29" s="592">
        <f>R9+R17+R26</f>
        <v>30</v>
      </c>
    </row>
    <row r="30" spans="1:18" s="25" customFormat="1" ht="12.75" customHeight="1" thickBot="1" x14ac:dyDescent="0.25">
      <c r="A30" s="1029" t="s">
        <v>88</v>
      </c>
      <c r="B30" s="1030"/>
      <c r="C30" s="1030"/>
      <c r="D30" s="1031"/>
      <c r="E30" s="590">
        <v>0</v>
      </c>
      <c r="F30" s="590">
        <v>0</v>
      </c>
      <c r="G30" s="590">
        <v>0</v>
      </c>
      <c r="H30" s="590">
        <v>0</v>
      </c>
      <c r="I30" s="590">
        <v>0</v>
      </c>
      <c r="J30" s="593">
        <v>0</v>
      </c>
      <c r="K30" s="590">
        <v>0</v>
      </c>
      <c r="L30" s="591">
        <v>0</v>
      </c>
      <c r="M30" s="594"/>
      <c r="N30" s="590">
        <f>N18+N27</f>
        <v>0</v>
      </c>
      <c r="O30" s="594">
        <v>0</v>
      </c>
      <c r="P30" s="590">
        <v>0</v>
      </c>
      <c r="Q30" s="590">
        <f t="shared" ref="Q30:Q31" si="24">SUM(L30:P30)</f>
        <v>0</v>
      </c>
      <c r="R30" s="595"/>
    </row>
    <row r="31" spans="1:18" s="25" customFormat="1" ht="12.75" customHeight="1" thickBot="1" x14ac:dyDescent="0.25">
      <c r="A31" s="1032" t="s">
        <v>87</v>
      </c>
      <c r="B31" s="1033"/>
      <c r="C31" s="1033"/>
      <c r="D31" s="1034"/>
      <c r="E31" s="596">
        <f t="shared" ref="E31:K31" si="25">E27+E18+E10</f>
        <v>11690616</v>
      </c>
      <c r="F31" s="596">
        <f>F27+F18+F10</f>
        <v>2278123.2000000002</v>
      </c>
      <c r="G31" s="596">
        <f t="shared" si="25"/>
        <v>4410785</v>
      </c>
      <c r="H31" s="596">
        <f t="shared" si="25"/>
        <v>0</v>
      </c>
      <c r="I31" s="596">
        <f t="shared" si="25"/>
        <v>0</v>
      </c>
      <c r="J31" s="597">
        <f t="shared" si="25"/>
        <v>0</v>
      </c>
      <c r="K31" s="596">
        <f t="shared" si="25"/>
        <v>0</v>
      </c>
      <c r="L31" s="598">
        <f>SUM(E31:K31)</f>
        <v>18379524.199999999</v>
      </c>
      <c r="M31" s="590">
        <f>M18+M10+M27</f>
        <v>500000</v>
      </c>
      <c r="N31" s="596"/>
      <c r="O31" s="590"/>
      <c r="P31" s="596"/>
      <c r="Q31" s="590">
        <f t="shared" si="24"/>
        <v>18879524.199999999</v>
      </c>
      <c r="R31" s="592">
        <f>R24+R21+R10</f>
        <v>3.5</v>
      </c>
    </row>
    <row r="32" spans="1:18" s="25" customFormat="1" ht="12" customHeight="1" x14ac:dyDescent="0.2">
      <c r="A32" s="411" t="s">
        <v>249</v>
      </c>
      <c r="B32" s="412"/>
      <c r="C32" s="412"/>
      <c r="D32" s="413"/>
      <c r="E32" s="414"/>
      <c r="F32" s="415"/>
      <c r="G32" s="415"/>
      <c r="H32" s="415"/>
      <c r="I32" s="415"/>
      <c r="J32" s="415"/>
      <c r="K32" s="415"/>
      <c r="L32" s="416"/>
      <c r="M32" s="415"/>
      <c r="N32" s="415"/>
      <c r="O32" s="415"/>
      <c r="P32" s="415"/>
      <c r="Q32" s="415"/>
      <c r="R32" s="417"/>
    </row>
    <row r="33" spans="1:92" s="25" customFormat="1" ht="2.25" customHeight="1" thickBot="1" x14ac:dyDescent="0.25">
      <c r="A33" s="228"/>
      <c r="B33" s="861"/>
      <c r="C33" s="861"/>
      <c r="D33" s="418"/>
      <c r="E33" s="419"/>
      <c r="F33" s="419"/>
      <c r="G33" s="419"/>
      <c r="H33" s="419"/>
      <c r="I33" s="419"/>
      <c r="J33" s="419"/>
      <c r="K33" s="419"/>
      <c r="L33" s="420"/>
      <c r="M33" s="419"/>
      <c r="N33" s="419"/>
      <c r="O33" s="419"/>
      <c r="P33" s="419"/>
      <c r="Q33" s="419"/>
      <c r="R33" s="421"/>
    </row>
    <row r="34" spans="1:92" ht="12" customHeight="1" thickBot="1" x14ac:dyDescent="0.25">
      <c r="A34" s="229">
        <v>1</v>
      </c>
      <c r="B34" s="805">
        <v>4</v>
      </c>
      <c r="C34" s="806"/>
      <c r="D34" s="807" t="s">
        <v>255</v>
      </c>
      <c r="E34" s="623">
        <f>E35+E36</f>
        <v>13555880</v>
      </c>
      <c r="F34" s="623">
        <f t="shared" ref="F34:K34" si="26">F35+F36</f>
        <v>2711176</v>
      </c>
      <c r="G34" s="623">
        <f t="shared" si="26"/>
        <v>11280734</v>
      </c>
      <c r="H34" s="623">
        <f t="shared" si="26"/>
        <v>0</v>
      </c>
      <c r="I34" s="623">
        <f t="shared" si="26"/>
        <v>0</v>
      </c>
      <c r="J34" s="623">
        <f t="shared" si="26"/>
        <v>4860369</v>
      </c>
      <c r="K34" s="623">
        <f t="shared" si="26"/>
        <v>1280012</v>
      </c>
      <c r="L34" s="623">
        <f t="shared" ref="L34:L90" si="27">SUM(E34:K34)</f>
        <v>33688171</v>
      </c>
      <c r="M34" s="623">
        <f>M35+M36</f>
        <v>500000</v>
      </c>
      <c r="N34" s="623">
        <f>N38+N40+N90</f>
        <v>0</v>
      </c>
      <c r="O34" s="623">
        <f>O38+O40+O90</f>
        <v>0</v>
      </c>
      <c r="P34" s="623">
        <f>P38+P40+P90</f>
        <v>0</v>
      </c>
      <c r="Q34" s="624">
        <f>SUM(L34:P34)</f>
        <v>34188171</v>
      </c>
      <c r="R34" s="625">
        <f>R38+R39</f>
        <v>2</v>
      </c>
    </row>
    <row r="35" spans="1:92" ht="13.5" customHeight="1" x14ac:dyDescent="0.2">
      <c r="A35" s="229"/>
      <c r="B35" s="805"/>
      <c r="C35" s="806"/>
      <c r="D35" s="808" t="s">
        <v>81</v>
      </c>
      <c r="E35" s="489">
        <f>E38+E41+E40+E45</f>
        <v>13555880</v>
      </c>
      <c r="F35" s="489">
        <f t="shared" ref="F35:K35" si="28">F38+F41+F40+F45</f>
        <v>2711176</v>
      </c>
      <c r="G35" s="489">
        <f>G38+G41+G40+G45</f>
        <v>11280734</v>
      </c>
      <c r="H35" s="489">
        <f t="shared" si="28"/>
        <v>0</v>
      </c>
      <c r="I35" s="489">
        <f t="shared" si="28"/>
        <v>0</v>
      </c>
      <c r="J35" s="489">
        <f>J38+J41+J40+J45</f>
        <v>4860369</v>
      </c>
      <c r="K35" s="489">
        <f t="shared" si="28"/>
        <v>1280012</v>
      </c>
      <c r="L35" s="809">
        <f t="shared" si="27"/>
        <v>33688171</v>
      </c>
      <c r="M35" s="489">
        <f>M38</f>
        <v>500000</v>
      </c>
      <c r="N35" s="489"/>
      <c r="O35" s="489"/>
      <c r="P35" s="489"/>
      <c r="Q35" s="810"/>
      <c r="R35" s="603"/>
    </row>
    <row r="36" spans="1:92" ht="13.5" customHeight="1" thickBot="1" x14ac:dyDescent="0.25">
      <c r="A36" s="862"/>
      <c r="B36" s="811"/>
      <c r="C36" s="812"/>
      <c r="D36" s="813" t="s">
        <v>82</v>
      </c>
      <c r="E36" s="814"/>
      <c r="F36" s="815"/>
      <c r="G36" s="815"/>
      <c r="H36" s="815"/>
      <c r="I36" s="815"/>
      <c r="J36" s="815"/>
      <c r="K36" s="815"/>
      <c r="L36" s="814">
        <f t="shared" si="27"/>
        <v>0</v>
      </c>
      <c r="M36" s="815"/>
      <c r="N36" s="815"/>
      <c r="O36" s="815"/>
      <c r="P36" s="815"/>
      <c r="Q36" s="606"/>
      <c r="R36" s="816"/>
    </row>
    <row r="37" spans="1:92" s="198" customFormat="1" ht="18" customHeight="1" thickBot="1" x14ac:dyDescent="0.2">
      <c r="A37" s="863"/>
      <c r="B37" s="771">
        <v>1</v>
      </c>
      <c r="C37" s="504"/>
      <c r="D37" s="772" t="s">
        <v>277</v>
      </c>
      <c r="E37" s="773"/>
      <c r="F37" s="773"/>
      <c r="G37" s="773"/>
      <c r="H37" s="773"/>
      <c r="I37" s="773"/>
      <c r="J37" s="773"/>
      <c r="K37" s="773"/>
      <c r="L37" s="773"/>
      <c r="M37" s="773"/>
      <c r="N37" s="773"/>
      <c r="O37" s="773"/>
      <c r="P37" s="773"/>
      <c r="Q37" s="774"/>
      <c r="R37" s="775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</row>
    <row r="38" spans="1:92" ht="11.25" customHeight="1" x14ac:dyDescent="0.2">
      <c r="A38" s="864"/>
      <c r="B38" s="776"/>
      <c r="C38" s="777" t="s">
        <v>70</v>
      </c>
      <c r="D38" s="778" t="s">
        <v>81</v>
      </c>
      <c r="E38" s="779">
        <v>13555880</v>
      </c>
      <c r="F38" s="779">
        <f>E38*20%</f>
        <v>2711176</v>
      </c>
      <c r="G38" s="780">
        <f>10207252+3000000-1916518-10000</f>
        <v>11280734</v>
      </c>
      <c r="H38" s="779"/>
      <c r="I38" s="635"/>
      <c r="J38" s="635"/>
      <c r="K38" s="635">
        <v>780012</v>
      </c>
      <c r="L38" s="523">
        <f t="shared" si="27"/>
        <v>28327802</v>
      </c>
      <c r="M38" s="620">
        <v>500000</v>
      </c>
      <c r="N38" s="635"/>
      <c r="O38" s="635"/>
      <c r="P38" s="635"/>
      <c r="Q38" s="522">
        <f t="shared" ref="Q38:Q90" si="29">SUM(L38:P38)</f>
        <v>28827802</v>
      </c>
      <c r="R38" s="781">
        <v>2</v>
      </c>
    </row>
    <row r="39" spans="1:92" ht="12.75" customHeight="1" x14ac:dyDescent="0.2">
      <c r="A39" s="863"/>
      <c r="B39" s="502"/>
      <c r="C39" s="782" t="s">
        <v>71</v>
      </c>
      <c r="D39" s="783" t="s">
        <v>82</v>
      </c>
      <c r="E39" s="784">
        <v>0</v>
      </c>
      <c r="F39" s="784">
        <v>0</v>
      </c>
      <c r="G39" s="784"/>
      <c r="H39" s="784"/>
      <c r="I39" s="680"/>
      <c r="J39" s="680"/>
      <c r="K39" s="680"/>
      <c r="L39" s="527">
        <f t="shared" si="27"/>
        <v>0</v>
      </c>
      <c r="M39" s="680"/>
      <c r="N39" s="680"/>
      <c r="O39" s="680"/>
      <c r="P39" s="680"/>
      <c r="Q39" s="526">
        <f t="shared" si="29"/>
        <v>0</v>
      </c>
      <c r="R39" s="785">
        <v>0</v>
      </c>
    </row>
    <row r="40" spans="1:92" ht="9" customHeight="1" x14ac:dyDescent="0.2">
      <c r="A40" s="863"/>
      <c r="B40" s="507"/>
      <c r="C40" s="508" t="s">
        <v>70</v>
      </c>
      <c r="D40" s="786" t="s">
        <v>308</v>
      </c>
      <c r="E40" s="304">
        <v>0</v>
      </c>
      <c r="F40" s="304"/>
      <c r="G40" s="305"/>
      <c r="H40" s="305"/>
      <c r="I40" s="304"/>
      <c r="J40" s="304"/>
      <c r="K40" s="304">
        <f>500000</f>
        <v>500000</v>
      </c>
      <c r="L40" s="306">
        <f>SUM(E40:K40)</f>
        <v>500000</v>
      </c>
      <c r="M40" s="304"/>
      <c r="N40" s="304"/>
      <c r="O40" s="304"/>
      <c r="P40" s="304"/>
      <c r="Q40" s="307">
        <f>SUM(L40:P40)</f>
        <v>500000</v>
      </c>
      <c r="R40" s="282"/>
    </row>
    <row r="41" spans="1:92" ht="9" customHeight="1" x14ac:dyDescent="0.2">
      <c r="A41" s="863"/>
      <c r="B41" s="507"/>
      <c r="C41" s="508" t="s">
        <v>70</v>
      </c>
      <c r="D41" s="786" t="s">
        <v>251</v>
      </c>
      <c r="E41" s="492">
        <f>SUM(E42:E44)</f>
        <v>0</v>
      </c>
      <c r="F41" s="492">
        <f t="shared" ref="F41:I41" si="30">SUM(F42:F44)</f>
        <v>0</v>
      </c>
      <c r="G41" s="492">
        <f>G44+G42+G43</f>
        <v>0</v>
      </c>
      <c r="H41" s="492">
        <f t="shared" si="30"/>
        <v>0</v>
      </c>
      <c r="I41" s="492">
        <f t="shared" si="30"/>
        <v>0</v>
      </c>
      <c r="J41" s="492">
        <f>SUM(J42+J43+J44)</f>
        <v>1789312</v>
      </c>
      <c r="K41" s="492"/>
      <c r="L41" s="306">
        <f t="shared" ref="L41:L54" si="31">SUM(E41:K41)</f>
        <v>1789312</v>
      </c>
      <c r="M41" s="492"/>
      <c r="N41" s="492"/>
      <c r="O41" s="492"/>
      <c r="P41" s="492"/>
      <c r="Q41" s="307">
        <f t="shared" ref="Q41:Q54" si="32">SUM(L41:P41)</f>
        <v>1789312</v>
      </c>
      <c r="R41" s="496"/>
    </row>
    <row r="42" spans="1:92" ht="9" customHeight="1" x14ac:dyDescent="0.2">
      <c r="A42" s="865"/>
      <c r="B42" s="507"/>
      <c r="C42" s="508"/>
      <c r="D42" s="509" t="s">
        <v>272</v>
      </c>
      <c r="E42" s="492"/>
      <c r="F42" s="492"/>
      <c r="G42" s="493"/>
      <c r="H42" s="493"/>
      <c r="I42" s="304">
        <v>0</v>
      </c>
      <c r="J42" s="492">
        <v>250000</v>
      </c>
      <c r="K42" s="492"/>
      <c r="L42" s="306">
        <f t="shared" si="31"/>
        <v>250000</v>
      </c>
      <c r="M42" s="492"/>
      <c r="N42" s="492"/>
      <c r="O42" s="492"/>
      <c r="P42" s="492"/>
      <c r="Q42" s="307">
        <f t="shared" si="32"/>
        <v>250000</v>
      </c>
      <c r="R42" s="496"/>
    </row>
    <row r="43" spans="1:92" ht="9" customHeight="1" x14ac:dyDescent="0.2">
      <c r="A43" s="865"/>
      <c r="B43" s="507"/>
      <c r="C43" s="508"/>
      <c r="D43" s="509" t="s">
        <v>273</v>
      </c>
      <c r="E43" s="492"/>
      <c r="F43" s="492"/>
      <c r="G43" s="493"/>
      <c r="H43" s="493"/>
      <c r="I43" s="866"/>
      <c r="J43" s="492">
        <f>110176*12+217200</f>
        <v>1539312</v>
      </c>
      <c r="K43" s="492"/>
      <c r="L43" s="306">
        <f t="shared" si="31"/>
        <v>1539312</v>
      </c>
      <c r="M43" s="492"/>
      <c r="N43" s="492"/>
      <c r="O43" s="492"/>
      <c r="P43" s="492"/>
      <c r="Q43" s="307">
        <f t="shared" si="32"/>
        <v>1539312</v>
      </c>
      <c r="R43" s="496"/>
    </row>
    <row r="44" spans="1:92" ht="9" customHeight="1" x14ac:dyDescent="0.2">
      <c r="A44" s="865"/>
      <c r="B44" s="507"/>
      <c r="C44" s="508"/>
      <c r="D44" s="509" t="s">
        <v>274</v>
      </c>
      <c r="E44" s="492"/>
      <c r="F44" s="492"/>
      <c r="G44" s="493"/>
      <c r="H44" s="493"/>
      <c r="I44" s="492"/>
      <c r="J44" s="492"/>
      <c r="K44" s="492"/>
      <c r="L44" s="306">
        <f t="shared" si="31"/>
        <v>0</v>
      </c>
      <c r="M44" s="492"/>
      <c r="N44" s="492"/>
      <c r="O44" s="492"/>
      <c r="P44" s="492"/>
      <c r="Q44" s="307">
        <f t="shared" si="32"/>
        <v>0</v>
      </c>
      <c r="R44" s="496"/>
    </row>
    <row r="45" spans="1:92" ht="10.5" customHeight="1" thickBot="1" x14ac:dyDescent="0.25">
      <c r="A45" s="865"/>
      <c r="B45" s="507"/>
      <c r="C45" s="510" t="s">
        <v>70</v>
      </c>
      <c r="D45" s="491" t="s">
        <v>284</v>
      </c>
      <c r="E45" s="492"/>
      <c r="F45" s="492"/>
      <c r="G45" s="493"/>
      <c r="H45" s="493"/>
      <c r="I45" s="492"/>
      <c r="J45" s="492">
        <f>3000000+71057</f>
        <v>3071057</v>
      </c>
      <c r="K45" s="492"/>
      <c r="L45" s="494">
        <f t="shared" ref="L45:L53" si="33">SUM(E45:K45)</f>
        <v>3071057</v>
      </c>
      <c r="M45" s="492"/>
      <c r="N45" s="492"/>
      <c r="O45" s="492"/>
      <c r="P45" s="492"/>
      <c r="Q45" s="495">
        <f t="shared" si="32"/>
        <v>3071057</v>
      </c>
      <c r="R45" s="496"/>
    </row>
    <row r="46" spans="1:92" ht="36.75" customHeight="1" thickBot="1" x14ac:dyDescent="0.25">
      <c r="A46" s="865">
        <v>2</v>
      </c>
      <c r="B46" s="503">
        <v>5</v>
      </c>
      <c r="C46" s="504" t="s">
        <v>70</v>
      </c>
      <c r="D46" s="505" t="s">
        <v>405</v>
      </c>
      <c r="E46" s="251">
        <f>(240000+240000)*12+(195000*6)</f>
        <v>6930000</v>
      </c>
      <c r="F46" s="251">
        <f>E46*20%</f>
        <v>1386000</v>
      </c>
      <c r="G46" s="390">
        <v>1000000</v>
      </c>
      <c r="H46" s="390"/>
      <c r="I46" s="251"/>
      <c r="J46" s="251"/>
      <c r="K46" s="251"/>
      <c r="L46" s="252">
        <f t="shared" si="33"/>
        <v>9316000</v>
      </c>
      <c r="M46" s="837">
        <v>750000</v>
      </c>
      <c r="N46" s="251"/>
      <c r="O46" s="251"/>
      <c r="P46" s="251"/>
      <c r="Q46" s="253">
        <f t="shared" ref="Q46:Q53" si="34">SUM(L46:P46)</f>
        <v>10066000</v>
      </c>
      <c r="R46" s="506">
        <v>2.5</v>
      </c>
    </row>
    <row r="47" spans="1:92" ht="13.5" thickBot="1" x14ac:dyDescent="0.25">
      <c r="A47" s="863">
        <v>3</v>
      </c>
      <c r="B47" s="503">
        <f>B46+1</f>
        <v>6</v>
      </c>
      <c r="C47" s="504" t="s">
        <v>70</v>
      </c>
      <c r="D47" s="638" t="s">
        <v>260</v>
      </c>
      <c r="E47" s="251"/>
      <c r="F47" s="251"/>
      <c r="G47" s="390">
        <f>600000</f>
        <v>600000</v>
      </c>
      <c r="H47" s="390"/>
      <c r="I47" s="251"/>
      <c r="J47" s="251"/>
      <c r="K47" s="251"/>
      <c r="L47" s="252">
        <f t="shared" si="33"/>
        <v>600000</v>
      </c>
      <c r="M47" s="679">
        <v>0</v>
      </c>
      <c r="N47" s="251"/>
      <c r="O47" s="251"/>
      <c r="P47" s="251"/>
      <c r="Q47" s="253">
        <f t="shared" si="34"/>
        <v>600000</v>
      </c>
      <c r="R47" s="506"/>
    </row>
    <row r="48" spans="1:92" s="256" customFormat="1" ht="16.5" customHeight="1" thickBot="1" x14ac:dyDescent="0.25">
      <c r="A48" s="425">
        <v>4</v>
      </c>
      <c r="B48" s="503">
        <f t="shared" ref="B48:B55" si="35">B47+1</f>
        <v>7</v>
      </c>
      <c r="C48" s="672" t="s">
        <v>70</v>
      </c>
      <c r="D48" s="673" t="s">
        <v>257</v>
      </c>
      <c r="E48" s="639"/>
      <c r="F48" s="639"/>
      <c r="G48" s="836">
        <f>348000-127000</f>
        <v>221000</v>
      </c>
      <c r="H48" s="640"/>
      <c r="I48" s="639"/>
      <c r="J48" s="639"/>
      <c r="K48" s="639"/>
      <c r="L48" s="641">
        <f t="shared" si="33"/>
        <v>221000</v>
      </c>
      <c r="M48" s="678"/>
      <c r="N48" s="639"/>
      <c r="O48" s="639"/>
      <c r="P48" s="639"/>
      <c r="Q48" s="642">
        <f t="shared" si="34"/>
        <v>221000</v>
      </c>
      <c r="R48" s="674"/>
    </row>
    <row r="49" spans="1:18" ht="12" customHeight="1" thickBot="1" x14ac:dyDescent="0.25">
      <c r="A49" s="863">
        <v>5</v>
      </c>
      <c r="B49" s="503">
        <f t="shared" si="35"/>
        <v>8</v>
      </c>
      <c r="C49" s="675" t="s">
        <v>70</v>
      </c>
      <c r="D49" s="673" t="s">
        <v>57</v>
      </c>
      <c r="E49" s="639"/>
      <c r="F49" s="639"/>
      <c r="G49" s="640">
        <f>4000000</f>
        <v>4000000</v>
      </c>
      <c r="H49" s="640"/>
      <c r="I49" s="639"/>
      <c r="J49" s="639"/>
      <c r="K49" s="639"/>
      <c r="L49" s="641">
        <f t="shared" si="33"/>
        <v>4000000</v>
      </c>
      <c r="M49" s="678"/>
      <c r="N49" s="639"/>
      <c r="O49" s="639"/>
      <c r="P49" s="639"/>
      <c r="Q49" s="642">
        <f t="shared" si="34"/>
        <v>4000000</v>
      </c>
      <c r="R49" s="674"/>
    </row>
    <row r="50" spans="1:18" ht="21" customHeight="1" thickBot="1" x14ac:dyDescent="0.2">
      <c r="A50" s="865">
        <v>6</v>
      </c>
      <c r="B50" s="503">
        <f t="shared" si="35"/>
        <v>9</v>
      </c>
      <c r="C50" s="675" t="s">
        <v>70</v>
      </c>
      <c r="D50" s="676" t="s">
        <v>56</v>
      </c>
      <c r="E50" s="639">
        <v>570500</v>
      </c>
      <c r="F50" s="639">
        <v>121806</v>
      </c>
      <c r="G50" s="836">
        <f>5000000+3000000</f>
        <v>8000000</v>
      </c>
      <c r="H50" s="640"/>
      <c r="I50" s="639"/>
      <c r="J50" s="639"/>
      <c r="K50" s="639"/>
      <c r="L50" s="641">
        <f t="shared" si="33"/>
        <v>8692306</v>
      </c>
      <c r="M50" s="837">
        <f>250000+130000</f>
        <v>380000</v>
      </c>
      <c r="N50" s="639"/>
      <c r="O50" s="639"/>
      <c r="P50" s="639"/>
      <c r="Q50" s="642">
        <f t="shared" si="34"/>
        <v>9072306</v>
      </c>
      <c r="R50" s="674"/>
    </row>
    <row r="51" spans="1:18" ht="14.25" customHeight="1" thickBot="1" x14ac:dyDescent="0.25">
      <c r="A51" s="863">
        <v>7</v>
      </c>
      <c r="B51" s="503">
        <f t="shared" si="35"/>
        <v>10</v>
      </c>
      <c r="C51" s="675" t="s">
        <v>70</v>
      </c>
      <c r="D51" s="677" t="s">
        <v>258</v>
      </c>
      <c r="E51" s="639"/>
      <c r="F51" s="639"/>
      <c r="G51" s="640">
        <f>4000000</f>
        <v>4000000</v>
      </c>
      <c r="H51" s="640"/>
      <c r="I51" s="639"/>
      <c r="J51" s="639"/>
      <c r="K51" s="639"/>
      <c r="L51" s="641">
        <f t="shared" si="33"/>
        <v>4000000</v>
      </c>
      <c r="M51" s="678">
        <f>4800000+2709006</f>
        <v>7509006</v>
      </c>
      <c r="N51" s="639"/>
      <c r="O51" s="639"/>
      <c r="P51" s="639"/>
      <c r="Q51" s="642">
        <f t="shared" si="34"/>
        <v>11509006</v>
      </c>
      <c r="R51" s="674"/>
    </row>
    <row r="52" spans="1:18" ht="14.25" customHeight="1" thickBot="1" x14ac:dyDescent="0.25">
      <c r="A52" s="863"/>
      <c r="B52" s="503">
        <f t="shared" si="35"/>
        <v>11</v>
      </c>
      <c r="C52" s="504" t="s">
        <v>70</v>
      </c>
      <c r="D52" s="638" t="s">
        <v>377</v>
      </c>
      <c r="E52" s="251"/>
      <c r="F52" s="251"/>
      <c r="G52" s="390"/>
      <c r="H52" s="390"/>
      <c r="I52" s="251">
        <v>500000</v>
      </c>
      <c r="J52" s="251"/>
      <c r="K52" s="251"/>
      <c r="L52" s="252">
        <f t="shared" si="33"/>
        <v>500000</v>
      </c>
      <c r="M52" s="251"/>
      <c r="N52" s="251"/>
      <c r="O52" s="251"/>
      <c r="P52" s="251"/>
      <c r="Q52" s="253">
        <f t="shared" si="34"/>
        <v>500000</v>
      </c>
      <c r="R52" s="506"/>
    </row>
    <row r="53" spans="1:18" ht="30.75" customHeight="1" thickBot="1" x14ac:dyDescent="0.2">
      <c r="A53" s="863">
        <v>9</v>
      </c>
      <c r="B53" s="503">
        <f t="shared" si="35"/>
        <v>12</v>
      </c>
      <c r="C53" s="504" t="s">
        <v>70</v>
      </c>
      <c r="D53" s="608" t="s">
        <v>317</v>
      </c>
      <c r="E53" s="251"/>
      <c r="F53" s="251"/>
      <c r="G53" s="390">
        <v>800000</v>
      </c>
      <c r="H53" s="390"/>
      <c r="I53" s="251"/>
      <c r="J53" s="251"/>
      <c r="K53" s="251"/>
      <c r="L53" s="252">
        <f t="shared" si="33"/>
        <v>800000</v>
      </c>
      <c r="M53" s="251">
        <v>1000000</v>
      </c>
      <c r="N53" s="251"/>
      <c r="O53" s="251"/>
      <c r="P53" s="251"/>
      <c r="Q53" s="253">
        <f t="shared" si="34"/>
        <v>1800000</v>
      </c>
      <c r="R53" s="838"/>
    </row>
    <row r="54" spans="1:18" ht="16.5" customHeight="1" thickBot="1" x14ac:dyDescent="0.25">
      <c r="A54" s="863">
        <v>10</v>
      </c>
      <c r="B54" s="503">
        <f t="shared" si="35"/>
        <v>13</v>
      </c>
      <c r="C54" s="665" t="s">
        <v>71</v>
      </c>
      <c r="D54" s="666" t="s">
        <v>259</v>
      </c>
      <c r="E54" s="667">
        <f>400000</f>
        <v>400000</v>
      </c>
      <c r="F54" s="667">
        <f>E54*22%</f>
        <v>88000</v>
      </c>
      <c r="G54" s="668">
        <v>4000000</v>
      </c>
      <c r="H54" s="668"/>
      <c r="I54" s="667"/>
      <c r="J54" s="667"/>
      <c r="K54" s="667"/>
      <c r="L54" s="669">
        <f t="shared" si="31"/>
        <v>4488000</v>
      </c>
      <c r="M54" s="667"/>
      <c r="N54" s="667"/>
      <c r="O54" s="667"/>
      <c r="P54" s="667"/>
      <c r="Q54" s="670">
        <f t="shared" si="32"/>
        <v>4488000</v>
      </c>
      <c r="R54" s="671"/>
    </row>
    <row r="55" spans="1:18" ht="15.75" customHeight="1" thickBot="1" x14ac:dyDescent="0.2">
      <c r="A55" s="862">
        <v>11</v>
      </c>
      <c r="B55" s="503">
        <f t="shared" si="35"/>
        <v>14</v>
      </c>
      <c r="C55" s="615" t="s">
        <v>70</v>
      </c>
      <c r="D55" s="616" t="s">
        <v>250</v>
      </c>
      <c r="E55" s="617">
        <f>SUM(E56:E69)</f>
        <v>4789835</v>
      </c>
      <c r="F55" s="617">
        <f t="shared" ref="F55:K55" si="36">SUM(F56:F69)</f>
        <v>3449732.12</v>
      </c>
      <c r="G55" s="617">
        <f t="shared" si="36"/>
        <v>17733721</v>
      </c>
      <c r="H55" s="617">
        <f t="shared" si="36"/>
        <v>0</v>
      </c>
      <c r="I55" s="617">
        <f t="shared" si="36"/>
        <v>0</v>
      </c>
      <c r="J55" s="617">
        <f t="shared" si="36"/>
        <v>75000000</v>
      </c>
      <c r="K55" s="617">
        <f t="shared" si="36"/>
        <v>12335000</v>
      </c>
      <c r="L55" s="617">
        <f t="shared" ref="L55" si="37">SUM(E55:K55)</f>
        <v>113308288.12</v>
      </c>
      <c r="M55" s="617">
        <f>SUM(M56:M69)</f>
        <v>345745254.5</v>
      </c>
      <c r="N55" s="617">
        <f>SUM(N57:N64)</f>
        <v>0</v>
      </c>
      <c r="O55" s="617">
        <f>SUM(O57:O64)</f>
        <v>0</v>
      </c>
      <c r="P55" s="617">
        <f>SUM(P57:P64)</f>
        <v>0</v>
      </c>
      <c r="Q55" s="633">
        <f t="shared" ref="Q55" si="38">SUM(L55:P55)</f>
        <v>459053542.62</v>
      </c>
      <c r="R55" s="634">
        <f>R66</f>
        <v>2</v>
      </c>
    </row>
    <row r="56" spans="1:18" ht="24" customHeight="1" x14ac:dyDescent="0.2">
      <c r="A56" s="863"/>
      <c r="B56" s="817"/>
      <c r="C56" s="632" t="s">
        <v>70</v>
      </c>
      <c r="D56" s="637" t="s">
        <v>371</v>
      </c>
      <c r="E56" s="635"/>
      <c r="F56" s="635"/>
      <c r="G56" s="635"/>
      <c r="H56" s="635"/>
      <c r="I56" s="635"/>
      <c r="J56" s="635"/>
      <c r="K56" s="635"/>
      <c r="L56" s="523">
        <f>SUM(E56:K56)</f>
        <v>0</v>
      </c>
      <c r="M56" s="635">
        <v>2472224</v>
      </c>
      <c r="N56" s="635"/>
      <c r="O56" s="635"/>
      <c r="P56" s="635"/>
      <c r="Q56" s="522">
        <f>SUM(M56:P56)</f>
        <v>2472224</v>
      </c>
      <c r="R56" s="636"/>
    </row>
    <row r="57" spans="1:18" ht="15" customHeight="1" x14ac:dyDescent="0.2">
      <c r="A57" s="425"/>
      <c r="B57" s="422"/>
      <c r="C57" s="580" t="s">
        <v>70</v>
      </c>
      <c r="D57" s="906" t="s">
        <v>370</v>
      </c>
      <c r="E57" s="304"/>
      <c r="F57" s="620"/>
      <c r="G57" s="907"/>
      <c r="H57" s="907"/>
      <c r="I57" s="620"/>
      <c r="J57" s="620"/>
      <c r="K57" s="620"/>
      <c r="L57" s="485">
        <f t="shared" ref="L57:L66" si="39">SUM(E57:K57)</f>
        <v>0</v>
      </c>
      <c r="M57" s="635">
        <v>0</v>
      </c>
      <c r="N57" s="620"/>
      <c r="O57" s="620"/>
      <c r="P57" s="620"/>
      <c r="Q57" s="908">
        <f>SUM(L57:P57)</f>
        <v>0</v>
      </c>
      <c r="R57" s="830"/>
    </row>
    <row r="58" spans="1:18" ht="11.25" customHeight="1" x14ac:dyDescent="0.2">
      <c r="A58" s="867"/>
      <c r="B58" s="230"/>
      <c r="C58" s="580" t="s">
        <v>70</v>
      </c>
      <c r="D58" s="389" t="s">
        <v>408</v>
      </c>
      <c r="E58" s="304"/>
      <c r="F58" s="304"/>
      <c r="G58" s="305">
        <v>127000</v>
      </c>
      <c r="H58" s="305"/>
      <c r="I58" s="304"/>
      <c r="J58" s="304"/>
      <c r="K58" s="304"/>
      <c r="L58" s="485">
        <f t="shared" si="39"/>
        <v>127000</v>
      </c>
      <c r="M58" s="680">
        <f>15000000+2647059</f>
        <v>17647059</v>
      </c>
      <c r="N58" s="304"/>
      <c r="O58" s="304"/>
      <c r="P58" s="304"/>
      <c r="Q58" s="307">
        <f>M58+L58+N58+O58+P58</f>
        <v>17774059</v>
      </c>
      <c r="R58" s="282"/>
    </row>
    <row r="59" spans="1:18" ht="11.25" customHeight="1" x14ac:dyDescent="0.2">
      <c r="A59" s="867"/>
      <c r="B59" s="230"/>
      <c r="C59" s="829" t="s">
        <v>70</v>
      </c>
      <c r="D59" s="389" t="s">
        <v>400</v>
      </c>
      <c r="E59" s="304"/>
      <c r="F59" s="304"/>
      <c r="G59" s="305"/>
      <c r="H59" s="305"/>
      <c r="I59" s="304"/>
      <c r="J59" s="304"/>
      <c r="K59" s="304"/>
      <c r="L59" s="485"/>
      <c r="M59" s="680">
        <v>2647059</v>
      </c>
      <c r="N59" s="304"/>
      <c r="O59" s="304"/>
      <c r="P59" s="304"/>
      <c r="Q59" s="307">
        <f>M59+L59+N59+O59+P59</f>
        <v>2647059</v>
      </c>
      <c r="R59" s="828"/>
    </row>
    <row r="60" spans="1:18" ht="11.25" customHeight="1" x14ac:dyDescent="0.2">
      <c r="A60" s="867"/>
      <c r="B60" s="230"/>
      <c r="C60" s="829"/>
      <c r="D60" s="389" t="s">
        <v>402</v>
      </c>
      <c r="E60" s="304"/>
      <c r="F60" s="304"/>
      <c r="G60" s="305"/>
      <c r="H60" s="305"/>
      <c r="I60" s="304"/>
      <c r="J60" s="304"/>
      <c r="K60" s="304"/>
      <c r="L60" s="485"/>
      <c r="M60" s="680">
        <v>50000000</v>
      </c>
      <c r="N60" s="304"/>
      <c r="O60" s="304"/>
      <c r="P60" s="304"/>
      <c r="Q60" s="307">
        <f>M60+L60+N60+O60+P60</f>
        <v>50000000</v>
      </c>
      <c r="R60" s="828"/>
    </row>
    <row r="61" spans="1:18" ht="12" customHeight="1" x14ac:dyDescent="0.2">
      <c r="A61" s="867"/>
      <c r="B61" s="230"/>
      <c r="C61" s="829" t="s">
        <v>70</v>
      </c>
      <c r="D61" s="486" t="s">
        <v>295</v>
      </c>
      <c r="E61" s="304"/>
      <c r="F61" s="304"/>
      <c r="G61" s="305">
        <f>730250+750000</f>
        <v>1480250</v>
      </c>
      <c r="H61" s="305"/>
      <c r="I61" s="304"/>
      <c r="J61" s="304">
        <v>75000000</v>
      </c>
      <c r="K61" s="304"/>
      <c r="L61" s="306">
        <f t="shared" si="39"/>
        <v>76480250</v>
      </c>
      <c r="M61" s="680">
        <v>0</v>
      </c>
      <c r="N61" s="304"/>
      <c r="O61" s="304"/>
      <c r="P61" s="304"/>
      <c r="Q61" s="307">
        <f t="shared" ref="Q61:Q66" si="40">SUM(L61:P61)</f>
        <v>76480250</v>
      </c>
      <c r="R61" s="282"/>
    </row>
    <row r="62" spans="1:18" ht="12" customHeight="1" x14ac:dyDescent="0.2">
      <c r="A62" s="867" t="s">
        <v>70</v>
      </c>
      <c r="B62" s="230"/>
      <c r="C62" s="829" t="s">
        <v>70</v>
      </c>
      <c r="D62" s="909" t="s">
        <v>401</v>
      </c>
      <c r="E62" s="304"/>
      <c r="F62" s="304"/>
      <c r="G62" s="305">
        <v>300000</v>
      </c>
      <c r="H62" s="305"/>
      <c r="I62" s="304"/>
      <c r="J62" s="304"/>
      <c r="K62" s="304"/>
      <c r="L62" s="306">
        <f>SUM(E62:K62)</f>
        <v>300000</v>
      </c>
      <c r="M62" s="680"/>
      <c r="N62" s="304"/>
      <c r="O62" s="304"/>
      <c r="P62" s="304"/>
      <c r="Q62" s="307">
        <f t="shared" si="40"/>
        <v>300000</v>
      </c>
      <c r="R62" s="282"/>
    </row>
    <row r="63" spans="1:18" ht="11.25" customHeight="1" x14ac:dyDescent="0.2">
      <c r="A63" s="867"/>
      <c r="B63" s="230"/>
      <c r="C63" s="580" t="s">
        <v>70</v>
      </c>
      <c r="D63" s="486" t="s">
        <v>265</v>
      </c>
      <c r="E63" s="304">
        <v>571672</v>
      </c>
      <c r="F63" s="304">
        <f>E63*21%</f>
        <v>120051.12</v>
      </c>
      <c r="G63" s="305">
        <v>0</v>
      </c>
      <c r="H63" s="305"/>
      <c r="I63" s="304"/>
      <c r="J63" s="304"/>
      <c r="K63" s="304"/>
      <c r="L63" s="306">
        <f t="shared" si="39"/>
        <v>691723.12</v>
      </c>
      <c r="M63" s="680">
        <v>0</v>
      </c>
      <c r="N63" s="304"/>
      <c r="O63" s="304"/>
      <c r="P63" s="304"/>
      <c r="Q63" s="307">
        <f t="shared" si="40"/>
        <v>691723.12</v>
      </c>
      <c r="R63" s="282"/>
    </row>
    <row r="64" spans="1:18" ht="12.75" customHeight="1" x14ac:dyDescent="0.2">
      <c r="A64" s="867"/>
      <c r="B64" s="230"/>
      <c r="C64" s="580" t="s">
        <v>70</v>
      </c>
      <c r="D64" s="868" t="s">
        <v>266</v>
      </c>
      <c r="E64" s="492">
        <f>496625+70946</f>
        <v>567571</v>
      </c>
      <c r="F64" s="492">
        <v>141893</v>
      </c>
      <c r="G64" s="493">
        <f>1418928+709464+170000+1418928</f>
        <v>3717320</v>
      </c>
      <c r="H64" s="493"/>
      <c r="I64" s="492"/>
      <c r="J64" s="492"/>
      <c r="K64" s="492"/>
      <c r="L64" s="494">
        <f t="shared" si="39"/>
        <v>4426784</v>
      </c>
      <c r="M64" s="693">
        <f>'6 beruházások'!D45</f>
        <v>129984780</v>
      </c>
      <c r="N64" s="492"/>
      <c r="O64" s="492"/>
      <c r="P64" s="492"/>
      <c r="Q64" s="495">
        <f t="shared" si="40"/>
        <v>134411564</v>
      </c>
      <c r="R64" s="386"/>
    </row>
    <row r="65" spans="1:19" ht="12.75" customHeight="1" x14ac:dyDescent="0.2">
      <c r="A65" s="867"/>
      <c r="B65" s="230"/>
      <c r="C65" s="580" t="s">
        <v>70</v>
      </c>
      <c r="D65" s="389" t="s">
        <v>267</v>
      </c>
      <c r="E65" s="304">
        <f>196649+11143</f>
        <v>207792</v>
      </c>
      <c r="F65" s="304">
        <v>60708</v>
      </c>
      <c r="G65" s="305">
        <f>537000+170000+537000+500000</f>
        <v>1744000</v>
      </c>
      <c r="H65" s="305"/>
      <c r="I65" s="304"/>
      <c r="J65" s="304"/>
      <c r="K65" s="304"/>
      <c r="L65" s="306">
        <f t="shared" si="39"/>
        <v>2012500</v>
      </c>
      <c r="M65" s="680">
        <f>'6 beruházások'!D62+'6 beruházások'!D46</f>
        <v>47966500</v>
      </c>
      <c r="N65" s="304"/>
      <c r="O65" s="304"/>
      <c r="P65" s="304"/>
      <c r="Q65" s="307">
        <f t="shared" si="40"/>
        <v>49979000</v>
      </c>
      <c r="R65" s="282"/>
    </row>
    <row r="66" spans="1:19" ht="12.75" customHeight="1" x14ac:dyDescent="0.2">
      <c r="A66" s="867"/>
      <c r="B66" s="230"/>
      <c r="C66" s="580" t="s">
        <v>70</v>
      </c>
      <c r="D66" s="389" t="s">
        <v>319</v>
      </c>
      <c r="E66" s="304">
        <f>892800+(12*200000)</f>
        <v>3292800</v>
      </c>
      <c r="F66" s="304">
        <v>3101580</v>
      </c>
      <c r="G66" s="305">
        <v>7499836</v>
      </c>
      <c r="H66" s="305"/>
      <c r="I66" s="304"/>
      <c r="J66" s="304"/>
      <c r="K66" s="304">
        <f>27203979-E66-F66-M66-G66</f>
        <v>12335000</v>
      </c>
      <c r="L66" s="306">
        <f t="shared" si="39"/>
        <v>26229216</v>
      </c>
      <c r="M66" s="680">
        <f>'6 beruházások'!D48</f>
        <v>974763</v>
      </c>
      <c r="N66" s="304"/>
      <c r="O66" s="304"/>
      <c r="P66" s="304"/>
      <c r="Q66" s="307">
        <f t="shared" si="40"/>
        <v>27203979</v>
      </c>
      <c r="R66" s="282">
        <v>2</v>
      </c>
    </row>
    <row r="67" spans="1:19" ht="12.75" customHeight="1" x14ac:dyDescent="0.2">
      <c r="A67" s="867" t="s">
        <v>293</v>
      </c>
      <c r="B67" s="230"/>
      <c r="C67" s="580" t="s">
        <v>70</v>
      </c>
      <c r="D67" s="579" t="s">
        <v>302</v>
      </c>
      <c r="E67" s="304"/>
      <c r="F67" s="304"/>
      <c r="G67" s="305"/>
      <c r="H67" s="305"/>
      <c r="I67" s="304"/>
      <c r="J67" s="304"/>
      <c r="K67" s="304"/>
      <c r="L67" s="306">
        <f t="shared" ref="L67:L69" si="41">SUM(E67:K67)</f>
        <v>0</v>
      </c>
      <c r="M67" s="680">
        <f>'6 beruházások'!D49</f>
        <v>8769066</v>
      </c>
      <c r="N67" s="304"/>
      <c r="O67" s="304"/>
      <c r="P67" s="304"/>
      <c r="Q67" s="307">
        <f>M67+L67</f>
        <v>8769066</v>
      </c>
      <c r="R67" s="282"/>
    </row>
    <row r="68" spans="1:19" ht="24" customHeight="1" x14ac:dyDescent="0.2">
      <c r="A68" s="867"/>
      <c r="B68" s="230"/>
      <c r="C68" s="580" t="s">
        <v>70</v>
      </c>
      <c r="D68" s="581" t="s">
        <v>307</v>
      </c>
      <c r="E68" s="304"/>
      <c r="F68" s="304"/>
      <c r="G68" s="305"/>
      <c r="H68" s="305"/>
      <c r="I68" s="304"/>
      <c r="J68" s="304"/>
      <c r="K68" s="304"/>
      <c r="L68" s="306">
        <f t="shared" si="41"/>
        <v>0</v>
      </c>
      <c r="M68" s="680">
        <f>'6 beruházások'!D50</f>
        <v>750000</v>
      </c>
      <c r="N68" s="304"/>
      <c r="O68" s="304"/>
      <c r="P68" s="304"/>
      <c r="Q68" s="307">
        <f>M68+L68</f>
        <v>750000</v>
      </c>
      <c r="R68" s="282"/>
    </row>
    <row r="69" spans="1:19" ht="27" customHeight="1" thickBot="1" x14ac:dyDescent="0.25">
      <c r="A69" s="867"/>
      <c r="B69" s="230"/>
      <c r="C69" s="609" t="s">
        <v>70</v>
      </c>
      <c r="D69" s="910" t="s">
        <v>306</v>
      </c>
      <c r="E69" s="492">
        <v>150000</v>
      </c>
      <c r="F69" s="492">
        <f>E69*17%</f>
        <v>25500.000000000004</v>
      </c>
      <c r="G69" s="493">
        <f>1250000+635000+980315</f>
        <v>2865315</v>
      </c>
      <c r="H69" s="493"/>
      <c r="I69" s="492"/>
      <c r="J69" s="492"/>
      <c r="K69" s="492"/>
      <c r="L69" s="494">
        <f t="shared" si="41"/>
        <v>3040815</v>
      </c>
      <c r="M69" s="693">
        <f>'6 beruházások'!D51</f>
        <v>84533803.5</v>
      </c>
      <c r="N69" s="492"/>
      <c r="O69" s="492"/>
      <c r="P69" s="492"/>
      <c r="Q69" s="495">
        <f>SUM(L69:P69)</f>
        <v>87574618.5</v>
      </c>
      <c r="R69" s="386"/>
      <c r="S69" s="853"/>
    </row>
    <row r="70" spans="1:19" ht="30.75" customHeight="1" x14ac:dyDescent="0.15">
      <c r="A70" s="423">
        <v>12</v>
      </c>
      <c r="B70" s="818">
        <v>15</v>
      </c>
      <c r="C70" s="621"/>
      <c r="D70" s="622" t="s">
        <v>261</v>
      </c>
      <c r="E70" s="623">
        <f>E71+E72</f>
        <v>4988134</v>
      </c>
      <c r="F70" s="623">
        <f t="shared" ref="F70:K70" si="42">F71+F72</f>
        <v>997626.8</v>
      </c>
      <c r="G70" s="623">
        <f t="shared" si="42"/>
        <v>12386908</v>
      </c>
      <c r="H70" s="623">
        <f t="shared" si="42"/>
        <v>1605000</v>
      </c>
      <c r="I70" s="623">
        <f t="shared" si="42"/>
        <v>750000</v>
      </c>
      <c r="J70" s="623">
        <f t="shared" si="42"/>
        <v>600000</v>
      </c>
      <c r="K70" s="623">
        <f t="shared" si="42"/>
        <v>0</v>
      </c>
      <c r="L70" s="623">
        <f t="shared" ref="L70:L72" si="43">SUM(E70:K70)</f>
        <v>21327668.800000001</v>
      </c>
      <c r="M70" s="623">
        <f>SUM(M71:M72)</f>
        <v>300000</v>
      </c>
      <c r="N70" s="623">
        <f t="shared" ref="N70:P70" si="44">SUM(N71:N72)</f>
        <v>0</v>
      </c>
      <c r="O70" s="623">
        <f t="shared" si="44"/>
        <v>0</v>
      </c>
      <c r="P70" s="623">
        <f t="shared" si="44"/>
        <v>0</v>
      </c>
      <c r="Q70" s="624">
        <f t="shared" ref="Q70:Q72" si="45">SUM(L70:P70)</f>
        <v>21627668.800000001</v>
      </c>
      <c r="R70" s="625">
        <f>R81</f>
        <v>1.5</v>
      </c>
    </row>
    <row r="71" spans="1:19" ht="12.75" customHeight="1" x14ac:dyDescent="0.2">
      <c r="A71" s="424"/>
      <c r="B71" s="819"/>
      <c r="C71" s="626"/>
      <c r="D71" s="604" t="s">
        <v>81</v>
      </c>
      <c r="E71" s="489">
        <f>E76+E77+E80+E81+E82</f>
        <v>4988134</v>
      </c>
      <c r="F71" s="489">
        <f t="shared" ref="F71:K71" si="46">F76+F77+F80+F81+F82</f>
        <v>997626.8</v>
      </c>
      <c r="G71" s="489">
        <f t="shared" si="46"/>
        <v>4320000</v>
      </c>
      <c r="H71" s="489">
        <f t="shared" si="46"/>
        <v>1605000</v>
      </c>
      <c r="I71" s="489">
        <f t="shared" si="46"/>
        <v>750000</v>
      </c>
      <c r="J71" s="489">
        <f t="shared" si="46"/>
        <v>0</v>
      </c>
      <c r="K71" s="489">
        <f t="shared" si="46"/>
        <v>0</v>
      </c>
      <c r="L71" s="605">
        <f t="shared" si="43"/>
        <v>12660760.800000001</v>
      </c>
      <c r="M71" s="489">
        <f>M77+M80+M81+M82+M76</f>
        <v>300000</v>
      </c>
      <c r="N71" s="489">
        <f t="shared" ref="N71:P71" si="47">N77+N80+N81+N82+N76</f>
        <v>0</v>
      </c>
      <c r="O71" s="489">
        <f t="shared" si="47"/>
        <v>0</v>
      </c>
      <c r="P71" s="489">
        <f t="shared" si="47"/>
        <v>0</v>
      </c>
      <c r="Q71" s="606">
        <f t="shared" si="45"/>
        <v>12960760.800000001</v>
      </c>
      <c r="R71" s="603">
        <f>R81</f>
        <v>1.5</v>
      </c>
    </row>
    <row r="72" spans="1:19" ht="15.75" customHeight="1" thickBot="1" x14ac:dyDescent="0.25">
      <c r="A72" s="424"/>
      <c r="B72" s="819"/>
      <c r="C72" s="627"/>
      <c r="D72" s="628" t="s">
        <v>82</v>
      </c>
      <c r="E72" s="629">
        <f>E73+E74+E78+E79</f>
        <v>0</v>
      </c>
      <c r="F72" s="629">
        <f t="shared" ref="F72:K72" si="48">F73+F74+F78+F79</f>
        <v>0</v>
      </c>
      <c r="G72" s="629">
        <f>G73+G74+G78+G79+G75</f>
        <v>8066908</v>
      </c>
      <c r="H72" s="629">
        <f t="shared" si="48"/>
        <v>0</v>
      </c>
      <c r="I72" s="629">
        <f t="shared" si="48"/>
        <v>0</v>
      </c>
      <c r="J72" s="629">
        <f t="shared" si="48"/>
        <v>600000</v>
      </c>
      <c r="K72" s="629">
        <f t="shared" si="48"/>
        <v>0</v>
      </c>
      <c r="L72" s="629">
        <f t="shared" si="43"/>
        <v>8666908</v>
      </c>
      <c r="M72" s="629">
        <f>M73+M74+M78+M79</f>
        <v>0</v>
      </c>
      <c r="N72" s="629">
        <f t="shared" ref="N72:P72" si="49">N73+N74+N78+N79</f>
        <v>0</v>
      </c>
      <c r="O72" s="629">
        <f t="shared" si="49"/>
        <v>0</v>
      </c>
      <c r="P72" s="629">
        <f t="shared" si="49"/>
        <v>0</v>
      </c>
      <c r="Q72" s="630">
        <f t="shared" si="45"/>
        <v>8666908</v>
      </c>
      <c r="R72" s="631"/>
    </row>
    <row r="73" spans="1:19" ht="12" customHeight="1" x14ac:dyDescent="0.2">
      <c r="A73" s="425"/>
      <c r="B73" s="498">
        <v>1</v>
      </c>
      <c r="C73" s="658" t="s">
        <v>71</v>
      </c>
      <c r="D73" s="659" t="s">
        <v>368</v>
      </c>
      <c r="E73" s="660">
        <v>0</v>
      </c>
      <c r="F73" s="660"/>
      <c r="G73" s="661">
        <f>666750+88900</f>
        <v>755650</v>
      </c>
      <c r="H73" s="661">
        <v>0</v>
      </c>
      <c r="I73" s="660">
        <v>0</v>
      </c>
      <c r="J73" s="660"/>
      <c r="K73" s="660"/>
      <c r="L73" s="662">
        <f>SUM(E73:K73)</f>
        <v>755650</v>
      </c>
      <c r="M73" s="660"/>
      <c r="N73" s="660"/>
      <c r="O73" s="660"/>
      <c r="P73" s="660"/>
      <c r="Q73" s="663">
        <f>L73</f>
        <v>755650</v>
      </c>
      <c r="R73" s="664"/>
    </row>
    <row r="74" spans="1:19" ht="12" customHeight="1" x14ac:dyDescent="0.2">
      <c r="A74" s="425"/>
      <c r="B74" s="498"/>
      <c r="C74" s="651" t="s">
        <v>71</v>
      </c>
      <c r="D74" s="652" t="s">
        <v>367</v>
      </c>
      <c r="E74" s="653"/>
      <c r="F74" s="653"/>
      <c r="G74" s="654">
        <f>2628900+350520</f>
        <v>2979420</v>
      </c>
      <c r="H74" s="654"/>
      <c r="I74" s="653"/>
      <c r="J74" s="653"/>
      <c r="K74" s="653"/>
      <c r="L74" s="655">
        <f t="shared" ref="L74:L76" si="50">SUM(E74:K74)</f>
        <v>2979420</v>
      </c>
      <c r="M74" s="653"/>
      <c r="N74" s="653"/>
      <c r="O74" s="653"/>
      <c r="P74" s="653"/>
      <c r="Q74" s="656">
        <f>L74</f>
        <v>2979420</v>
      </c>
      <c r="R74" s="657"/>
    </row>
    <row r="75" spans="1:19" ht="12" customHeight="1" x14ac:dyDescent="0.2">
      <c r="A75" s="425"/>
      <c r="B75" s="498"/>
      <c r="C75" s="651" t="s">
        <v>71</v>
      </c>
      <c r="D75" s="652" t="s">
        <v>404</v>
      </c>
      <c r="E75" s="653"/>
      <c r="F75" s="653"/>
      <c r="G75" s="305">
        <f>304800+3108960</f>
        <v>3413760</v>
      </c>
      <c r="H75" s="654"/>
      <c r="I75" s="653"/>
      <c r="J75" s="653"/>
      <c r="K75" s="653"/>
      <c r="L75" s="655">
        <f t="shared" si="50"/>
        <v>3413760</v>
      </c>
      <c r="M75" s="653"/>
      <c r="N75" s="653"/>
      <c r="O75" s="653"/>
      <c r="P75" s="653"/>
      <c r="Q75" s="656">
        <f>L75</f>
        <v>3413760</v>
      </c>
      <c r="R75" s="657"/>
    </row>
    <row r="76" spans="1:19" ht="12" customHeight="1" x14ac:dyDescent="0.2">
      <c r="A76" s="425"/>
      <c r="B76" s="498"/>
      <c r="C76" s="239" t="s">
        <v>70</v>
      </c>
      <c r="D76" s="487" t="s">
        <v>369</v>
      </c>
      <c r="E76" s="304"/>
      <c r="F76" s="304"/>
      <c r="G76" s="305">
        <v>2220000</v>
      </c>
      <c r="H76" s="305"/>
      <c r="I76" s="304"/>
      <c r="J76" s="304"/>
      <c r="K76" s="304"/>
      <c r="L76" s="306">
        <f t="shared" si="50"/>
        <v>2220000</v>
      </c>
      <c r="M76" s="304"/>
      <c r="N76" s="304"/>
      <c r="O76" s="304"/>
      <c r="P76" s="304"/>
      <c r="Q76" s="307">
        <f>SUM(L76:P76)</f>
        <v>2220000</v>
      </c>
      <c r="R76" s="282"/>
    </row>
    <row r="77" spans="1:19" s="232" customFormat="1" ht="17.25" customHeight="1" x14ac:dyDescent="0.2">
      <c r="A77" s="425"/>
      <c r="B77" s="498">
        <v>2</v>
      </c>
      <c r="C77" s="239" t="s">
        <v>70</v>
      </c>
      <c r="D77" s="487" t="s">
        <v>254</v>
      </c>
      <c r="E77" s="304">
        <v>0</v>
      </c>
      <c r="F77" s="304"/>
      <c r="G77" s="305"/>
      <c r="H77" s="305">
        <v>1500000</v>
      </c>
      <c r="I77" s="304"/>
      <c r="J77" s="304"/>
      <c r="K77" s="304"/>
      <c r="L77" s="306">
        <f>SUM(E77:K77)</f>
        <v>1500000</v>
      </c>
      <c r="M77" s="304"/>
      <c r="N77" s="304"/>
      <c r="O77" s="304"/>
      <c r="P77" s="304"/>
      <c r="Q77" s="307">
        <f>SUM(L77:P77)</f>
        <v>1500000</v>
      </c>
      <c r="R77" s="282"/>
    </row>
    <row r="78" spans="1:19" s="232" customFormat="1" ht="9.75" customHeight="1" x14ac:dyDescent="0.2">
      <c r="A78" s="425"/>
      <c r="B78" s="498">
        <v>3</v>
      </c>
      <c r="C78" s="239" t="s">
        <v>71</v>
      </c>
      <c r="D78" s="487" t="s">
        <v>238</v>
      </c>
      <c r="E78" s="304"/>
      <c r="F78" s="304"/>
      <c r="G78" s="305">
        <v>918078</v>
      </c>
      <c r="H78" s="305"/>
      <c r="I78" s="304"/>
      <c r="J78" s="304"/>
      <c r="K78" s="304"/>
      <c r="L78" s="306">
        <f t="shared" ref="L78:L80" si="51">SUM(E78:K78)</f>
        <v>918078</v>
      </c>
      <c r="M78" s="304"/>
      <c r="N78" s="304"/>
      <c r="O78" s="304"/>
      <c r="P78" s="304"/>
      <c r="Q78" s="307">
        <f t="shared" ref="Q78:Q80" si="52">SUM(L78:P78)</f>
        <v>918078</v>
      </c>
      <c r="R78" s="282"/>
    </row>
    <row r="79" spans="1:19" ht="13.5" customHeight="1" x14ac:dyDescent="0.2">
      <c r="A79" s="425"/>
      <c r="B79" s="498">
        <v>4</v>
      </c>
      <c r="C79" s="651" t="s">
        <v>71</v>
      </c>
      <c r="D79" s="652" t="s">
        <v>233</v>
      </c>
      <c r="E79" s="653"/>
      <c r="F79" s="653"/>
      <c r="G79" s="654"/>
      <c r="H79" s="654"/>
      <c r="I79" s="653"/>
      <c r="J79" s="653">
        <v>600000</v>
      </c>
      <c r="K79" s="653"/>
      <c r="L79" s="655">
        <f t="shared" si="51"/>
        <v>600000</v>
      </c>
      <c r="M79" s="653"/>
      <c r="N79" s="653"/>
      <c r="O79" s="653"/>
      <c r="P79" s="653"/>
      <c r="Q79" s="656">
        <f t="shared" si="52"/>
        <v>600000</v>
      </c>
      <c r="R79" s="657"/>
    </row>
    <row r="80" spans="1:19" ht="12" customHeight="1" x14ac:dyDescent="0.2">
      <c r="A80" s="425"/>
      <c r="B80" s="498">
        <v>5</v>
      </c>
      <c r="C80" s="239" t="s">
        <v>70</v>
      </c>
      <c r="D80" s="487" t="s">
        <v>256</v>
      </c>
      <c r="E80" s="304"/>
      <c r="F80" s="304"/>
      <c r="G80" s="305"/>
      <c r="H80" s="305">
        <v>105000</v>
      </c>
      <c r="I80" s="304"/>
      <c r="J80" s="304"/>
      <c r="K80" s="304"/>
      <c r="L80" s="306">
        <f t="shared" si="51"/>
        <v>105000</v>
      </c>
      <c r="M80" s="304"/>
      <c r="N80" s="304"/>
      <c r="O80" s="304"/>
      <c r="P80" s="304"/>
      <c r="Q80" s="307">
        <f t="shared" si="52"/>
        <v>105000</v>
      </c>
      <c r="R80" s="282"/>
    </row>
    <row r="81" spans="1:20" ht="12" customHeight="1" x14ac:dyDescent="0.2">
      <c r="A81" s="497"/>
      <c r="B81" s="498">
        <v>6</v>
      </c>
      <c r="C81" s="239" t="s">
        <v>70</v>
      </c>
      <c r="D81" s="501" t="s">
        <v>211</v>
      </c>
      <c r="E81" s="304">
        <f>297657*11+283157+97500*11+90250+250000+18000</f>
        <v>4988134</v>
      </c>
      <c r="F81" s="304">
        <f>E81*20%</f>
        <v>997626.8</v>
      </c>
      <c r="G81" s="305">
        <v>900000</v>
      </c>
      <c r="H81" s="305"/>
      <c r="I81" s="304"/>
      <c r="J81" s="304"/>
      <c r="K81" s="304"/>
      <c r="L81" s="306">
        <f>SUM(E81:K81)</f>
        <v>6885760.7999999998</v>
      </c>
      <c r="M81" s="680">
        <f>100000</f>
        <v>100000</v>
      </c>
      <c r="N81" s="304"/>
      <c r="O81" s="304"/>
      <c r="P81" s="304"/>
      <c r="Q81" s="307">
        <f>SUM(L81:P81)</f>
        <v>6985760.7999999998</v>
      </c>
      <c r="R81" s="282">
        <v>1.5</v>
      </c>
    </row>
    <row r="82" spans="1:20" ht="12.75" customHeight="1" thickBot="1" x14ac:dyDescent="0.25">
      <c r="A82" s="499"/>
      <c r="B82" s="500">
        <v>8</v>
      </c>
      <c r="C82" s="490" t="s">
        <v>70</v>
      </c>
      <c r="D82" s="578" t="s">
        <v>314</v>
      </c>
      <c r="E82" s="492">
        <v>0</v>
      </c>
      <c r="F82" s="492"/>
      <c r="G82" s="493">
        <f>1200000</f>
        <v>1200000</v>
      </c>
      <c r="H82" s="493"/>
      <c r="I82" s="492">
        <f>62500*12</f>
        <v>750000</v>
      </c>
      <c r="J82" s="492"/>
      <c r="K82" s="492"/>
      <c r="L82" s="494">
        <f t="shared" ref="L82" si="53">SUM(E82:K82)</f>
        <v>1950000</v>
      </c>
      <c r="M82" s="492">
        <v>200000</v>
      </c>
      <c r="N82" s="492"/>
      <c r="O82" s="493"/>
      <c r="P82" s="493"/>
      <c r="Q82" s="495">
        <f>SUM(L82:P82)</f>
        <v>2150000</v>
      </c>
      <c r="R82" s="496"/>
    </row>
    <row r="83" spans="1:20" s="488" customFormat="1" ht="12.75" customHeight="1" thickBot="1" x14ac:dyDescent="0.2">
      <c r="A83" s="426">
        <v>13</v>
      </c>
      <c r="B83" s="820">
        <v>16</v>
      </c>
      <c r="C83" s="615" t="s">
        <v>70</v>
      </c>
      <c r="D83" s="616" t="s">
        <v>0</v>
      </c>
      <c r="E83" s="617">
        <f>E84</f>
        <v>13506660</v>
      </c>
      <c r="F83" s="617">
        <f t="shared" ref="F83:G83" si="54">F84</f>
        <v>1316871</v>
      </c>
      <c r="G83" s="617">
        <f t="shared" si="54"/>
        <v>24116533</v>
      </c>
      <c r="H83" s="617">
        <f t="shared" ref="H83:K83" si="55">+H84</f>
        <v>0</v>
      </c>
      <c r="I83" s="617">
        <f t="shared" si="55"/>
        <v>0</v>
      </c>
      <c r="J83" s="617">
        <f t="shared" si="55"/>
        <v>0</v>
      </c>
      <c r="K83" s="617">
        <f t="shared" si="55"/>
        <v>0</v>
      </c>
      <c r="L83" s="617">
        <f>SUM(E83:K83)</f>
        <v>38940064</v>
      </c>
      <c r="M83" s="617">
        <f>M84</f>
        <v>1000000</v>
      </c>
      <c r="N83" s="617"/>
      <c r="O83" s="617"/>
      <c r="P83" s="617"/>
      <c r="Q83" s="618">
        <f>SUM(L83:P83)</f>
        <v>39940064</v>
      </c>
      <c r="R83" s="619">
        <f>R84</f>
        <v>18</v>
      </c>
    </row>
    <row r="84" spans="1:20" ht="12" customHeight="1" thickBot="1" x14ac:dyDescent="0.25">
      <c r="A84" s="425"/>
      <c r="B84" s="821">
        <v>1</v>
      </c>
      <c r="C84" s="609" t="s">
        <v>70</v>
      </c>
      <c r="D84" s="610" t="s">
        <v>264</v>
      </c>
      <c r="E84" s="611">
        <v>13506660</v>
      </c>
      <c r="F84" s="611">
        <v>1316871</v>
      </c>
      <c r="G84" s="612">
        <f>19544533+(381000*12)</f>
        <v>24116533</v>
      </c>
      <c r="H84" s="612"/>
      <c r="I84" s="611"/>
      <c r="J84" s="611"/>
      <c r="K84" s="611"/>
      <c r="L84" s="613">
        <f t="shared" ref="L84:L88" si="56">SUM(E84:K84)</f>
        <v>38940064</v>
      </c>
      <c r="M84" s="611">
        <v>1000000</v>
      </c>
      <c r="N84" s="611"/>
      <c r="O84" s="611"/>
      <c r="P84" s="611"/>
      <c r="Q84" s="614">
        <f>SUM(L84:P84)</f>
        <v>39940064</v>
      </c>
      <c r="R84" s="291">
        <v>18</v>
      </c>
    </row>
    <row r="85" spans="1:20" ht="26.25" customHeight="1" thickBot="1" x14ac:dyDescent="0.2">
      <c r="A85" s="425">
        <v>14</v>
      </c>
      <c r="B85" s="254">
        <v>17</v>
      </c>
      <c r="C85" s="255" t="s">
        <v>70</v>
      </c>
      <c r="D85" s="608" t="s">
        <v>224</v>
      </c>
      <c r="E85" s="251">
        <f>7009642+45000*10</f>
        <v>7459642</v>
      </c>
      <c r="F85" s="251">
        <f>E85*20%</f>
        <v>1491928.4000000001</v>
      </c>
      <c r="G85" s="390">
        <v>4000000</v>
      </c>
      <c r="H85" s="390"/>
      <c r="I85" s="251"/>
      <c r="J85" s="251">
        <v>0</v>
      </c>
      <c r="K85" s="251"/>
      <c r="L85" s="252">
        <f t="shared" si="56"/>
        <v>12951570.4</v>
      </c>
      <c r="M85" s="679">
        <v>1500000</v>
      </c>
      <c r="N85" s="251"/>
      <c r="O85" s="251"/>
      <c r="P85" s="251"/>
      <c r="Q85" s="253">
        <f t="shared" ref="Q85:Q87" si="57">SUM(L85:P85)</f>
        <v>14451570.4</v>
      </c>
      <c r="R85" s="379">
        <v>2.5</v>
      </c>
    </row>
    <row r="86" spans="1:20" ht="26.25" customHeight="1" thickBot="1" x14ac:dyDescent="0.2">
      <c r="A86" s="869"/>
      <c r="B86" s="254">
        <f>B85+1</f>
        <v>18</v>
      </c>
      <c r="C86" s="255" t="s">
        <v>71</v>
      </c>
      <c r="D86" s="643" t="s">
        <v>312</v>
      </c>
      <c r="E86" s="644">
        <v>2794160</v>
      </c>
      <c r="F86" s="644">
        <f>E86*20%</f>
        <v>558832</v>
      </c>
      <c r="G86" s="645">
        <v>500000</v>
      </c>
      <c r="H86" s="645"/>
      <c r="I86" s="644"/>
      <c r="J86" s="644"/>
      <c r="K86" s="644"/>
      <c r="L86" s="646">
        <f t="shared" si="56"/>
        <v>3852992</v>
      </c>
      <c r="M86" s="700">
        <v>500000</v>
      </c>
      <c r="N86" s="644"/>
      <c r="O86" s="644"/>
      <c r="P86" s="644"/>
      <c r="Q86" s="647">
        <f>SUM(L86:P86)</f>
        <v>4352992</v>
      </c>
      <c r="R86" s="648">
        <v>1</v>
      </c>
    </row>
    <row r="87" spans="1:20" ht="26.25" customHeight="1" thickBot="1" x14ac:dyDescent="0.2">
      <c r="A87" s="870">
        <v>15</v>
      </c>
      <c r="B87" s="254">
        <f t="shared" ref="B87:B90" si="58">B86+1</f>
        <v>19</v>
      </c>
      <c r="C87" s="255" t="s">
        <v>70</v>
      </c>
      <c r="D87" s="484" t="s">
        <v>283</v>
      </c>
      <c r="E87" s="251"/>
      <c r="F87" s="251"/>
      <c r="G87" s="390"/>
      <c r="H87" s="390"/>
      <c r="I87" s="251"/>
      <c r="J87" s="251"/>
      <c r="K87" s="251">
        <v>2981046</v>
      </c>
      <c r="L87" s="252">
        <f t="shared" si="56"/>
        <v>2981046</v>
      </c>
      <c r="M87" s="679"/>
      <c r="N87" s="251"/>
      <c r="O87" s="251"/>
      <c r="P87" s="251"/>
      <c r="Q87" s="253">
        <f t="shared" si="57"/>
        <v>2981046</v>
      </c>
      <c r="R87" s="379"/>
    </row>
    <row r="88" spans="1:20" s="22" customFormat="1" ht="12" customHeight="1" thickBot="1" x14ac:dyDescent="0.2">
      <c r="A88" s="870">
        <v>16</v>
      </c>
      <c r="B88" s="254">
        <f t="shared" si="58"/>
        <v>20</v>
      </c>
      <c r="C88" s="649" t="s">
        <v>71</v>
      </c>
      <c r="D88" s="650" t="s">
        <v>99</v>
      </c>
      <c r="E88" s="646">
        <v>0</v>
      </c>
      <c r="F88" s="646"/>
      <c r="G88" s="644"/>
      <c r="H88" s="644"/>
      <c r="I88" s="644">
        <v>100000</v>
      </c>
      <c r="J88" s="644">
        <v>0</v>
      </c>
      <c r="K88" s="646"/>
      <c r="L88" s="646">
        <f t="shared" si="56"/>
        <v>100000</v>
      </c>
      <c r="M88" s="646"/>
      <c r="N88" s="646"/>
      <c r="O88" s="646"/>
      <c r="P88" s="646"/>
      <c r="Q88" s="647">
        <f>L88</f>
        <v>100000</v>
      </c>
      <c r="R88" s="648"/>
      <c r="S88" s="854"/>
    </row>
    <row r="89" spans="1:20" s="22" customFormat="1" ht="12" customHeight="1" thickBot="1" x14ac:dyDescent="0.2">
      <c r="A89" s="871">
        <v>17</v>
      </c>
      <c r="B89" s="254">
        <f t="shared" si="58"/>
        <v>21</v>
      </c>
      <c r="C89" s="255" t="s">
        <v>70</v>
      </c>
      <c r="D89" s="607" t="s">
        <v>268</v>
      </c>
      <c r="E89" s="252">
        <v>150000</v>
      </c>
      <c r="F89" s="252">
        <v>30000</v>
      </c>
      <c r="G89" s="251">
        <f>100000+250000</f>
        <v>350000</v>
      </c>
      <c r="H89" s="251"/>
      <c r="I89" s="251"/>
      <c r="J89" s="251"/>
      <c r="K89" s="252"/>
      <c r="L89" s="252">
        <f>G89+E89+F89</f>
        <v>530000</v>
      </c>
      <c r="M89" s="252"/>
      <c r="N89" s="252"/>
      <c r="O89" s="252"/>
      <c r="P89" s="252"/>
      <c r="Q89" s="647">
        <f>L89</f>
        <v>530000</v>
      </c>
      <c r="R89" s="379"/>
    </row>
    <row r="90" spans="1:20" ht="11.45" customHeight="1" thickBot="1" x14ac:dyDescent="0.25">
      <c r="A90" s="425">
        <v>18</v>
      </c>
      <c r="B90" s="254">
        <f t="shared" si="58"/>
        <v>22</v>
      </c>
      <c r="C90" s="255" t="s">
        <v>70</v>
      </c>
      <c r="D90" s="638" t="s">
        <v>246</v>
      </c>
      <c r="E90" s="251"/>
      <c r="F90" s="251"/>
      <c r="G90" s="390">
        <f>150000+200000</f>
        <v>350000</v>
      </c>
      <c r="H90" s="390"/>
      <c r="I90" s="251"/>
      <c r="J90" s="251"/>
      <c r="K90" s="251">
        <v>0</v>
      </c>
      <c r="L90" s="252">
        <f t="shared" si="27"/>
        <v>350000</v>
      </c>
      <c r="M90" s="251"/>
      <c r="N90" s="251"/>
      <c r="O90" s="251"/>
      <c r="P90" s="251"/>
      <c r="Q90" s="253">
        <f t="shared" si="29"/>
        <v>350000</v>
      </c>
      <c r="R90" s="506"/>
    </row>
    <row r="91" spans="1:20" s="22" customFormat="1" ht="27" customHeight="1" thickBot="1" x14ac:dyDescent="0.25">
      <c r="A91" s="1059" t="s">
        <v>378</v>
      </c>
      <c r="B91" s="1060"/>
      <c r="C91" s="1060"/>
      <c r="D91" s="1060"/>
      <c r="E91" s="787">
        <f>E92+E93+E94</f>
        <v>55144811</v>
      </c>
      <c r="F91" s="787">
        <f t="shared" ref="F91:K91" si="59">F92+F93+F94</f>
        <v>12151972.32</v>
      </c>
      <c r="G91" s="787">
        <f>G92+G93+G94</f>
        <v>93338896</v>
      </c>
      <c r="H91" s="787">
        <f t="shared" si="59"/>
        <v>1605000</v>
      </c>
      <c r="I91" s="787">
        <f t="shared" si="59"/>
        <v>1350000</v>
      </c>
      <c r="J91" s="787">
        <f>J92+J93+J94</f>
        <v>80460369</v>
      </c>
      <c r="K91" s="787">
        <f t="shared" si="59"/>
        <v>16596058</v>
      </c>
      <c r="L91" s="787">
        <f>SUM(E91:K91)</f>
        <v>260647106.31999999</v>
      </c>
      <c r="M91" s="787">
        <f>M92+M93+M94</f>
        <v>359184260.5</v>
      </c>
      <c r="N91" s="787">
        <f>+N34+N83+N85</f>
        <v>0</v>
      </c>
      <c r="O91" s="787">
        <f>+O34+O83+O85</f>
        <v>0</v>
      </c>
      <c r="P91" s="787">
        <f>+P34+P83+P85</f>
        <v>0</v>
      </c>
      <c r="Q91" s="787">
        <f>SUM(L91:P91)</f>
        <v>619831366.81999993</v>
      </c>
      <c r="R91" s="872">
        <f>R92+R93+R94</f>
        <v>29.5</v>
      </c>
      <c r="S91" s="854"/>
    </row>
    <row r="92" spans="1:20" s="27" customFormat="1" ht="12" customHeight="1" thickBot="1" x14ac:dyDescent="0.25">
      <c r="A92" s="1073" t="s">
        <v>81</v>
      </c>
      <c r="B92" s="1074"/>
      <c r="C92" s="1074"/>
      <c r="D92" s="1075"/>
      <c r="E92" s="911">
        <f>E35+E46+E47+E48+E49+E50+E51+E52+E53+E55+E71+E83+E85+E87+E89+E90</f>
        <v>51950651</v>
      </c>
      <c r="F92" s="911">
        <f t="shared" ref="F92:P92" si="60">F35+F46+F47+F48+F49+F50+F51+F52+F53+F55+F71+F83+F85+F87+F89+F90</f>
        <v>11505140.32</v>
      </c>
      <c r="G92" s="911">
        <f t="shared" si="60"/>
        <v>80771988</v>
      </c>
      <c r="H92" s="911">
        <f t="shared" si="60"/>
        <v>1605000</v>
      </c>
      <c r="I92" s="911">
        <f t="shared" si="60"/>
        <v>1250000</v>
      </c>
      <c r="J92" s="911">
        <f t="shared" si="60"/>
        <v>79860369</v>
      </c>
      <c r="K92" s="911">
        <f t="shared" si="60"/>
        <v>16596058</v>
      </c>
      <c r="L92" s="911">
        <f>SUM(E92:K92)</f>
        <v>243539206.31999999</v>
      </c>
      <c r="M92" s="911">
        <f>M35+M46+M47+M48+M49+M50+M51+M52+M53+M55+M71+M83+M85+M87+M89+M90</f>
        <v>358684260.5</v>
      </c>
      <c r="N92" s="911">
        <f t="shared" si="60"/>
        <v>0</v>
      </c>
      <c r="O92" s="911">
        <f t="shared" si="60"/>
        <v>0</v>
      </c>
      <c r="P92" s="911">
        <f t="shared" si="60"/>
        <v>0</v>
      </c>
      <c r="Q92" s="911">
        <f>SUM(L92:P92)</f>
        <v>602223466.81999993</v>
      </c>
      <c r="R92" s="912">
        <f>R85+R83+R70+R46+R34+R55</f>
        <v>28.5</v>
      </c>
      <c r="S92" s="855"/>
    </row>
    <row r="93" spans="1:20" s="27" customFormat="1" ht="12" customHeight="1" thickBot="1" x14ac:dyDescent="0.25">
      <c r="A93" s="1070" t="s">
        <v>88</v>
      </c>
      <c r="B93" s="1071"/>
      <c r="C93" s="1071"/>
      <c r="D93" s="1072"/>
      <c r="E93" s="913">
        <v>0</v>
      </c>
      <c r="F93" s="913">
        <v>0</v>
      </c>
      <c r="G93" s="913">
        <v>0</v>
      </c>
      <c r="H93" s="913">
        <v>0</v>
      </c>
      <c r="I93" s="913">
        <v>0</v>
      </c>
      <c r="J93" s="913">
        <v>0</v>
      </c>
      <c r="K93" s="914">
        <v>0</v>
      </c>
      <c r="L93" s="587">
        <f t="shared" ref="L93" si="61">SUM(E93:K93)</f>
        <v>0</v>
      </c>
      <c r="M93" s="591">
        <v>0</v>
      </c>
      <c r="N93" s="915">
        <v>0</v>
      </c>
      <c r="O93" s="913">
        <v>0</v>
      </c>
      <c r="P93" s="913">
        <v>0</v>
      </c>
      <c r="Q93" s="913">
        <f>SUM(L93:P93)</f>
        <v>0</v>
      </c>
      <c r="R93" s="916">
        <v>0</v>
      </c>
      <c r="S93" s="855"/>
    </row>
    <row r="94" spans="1:20" s="27" customFormat="1" ht="12" customHeight="1" thickBot="1" x14ac:dyDescent="0.25">
      <c r="A94" s="1067" t="s">
        <v>82</v>
      </c>
      <c r="B94" s="1068"/>
      <c r="C94" s="1068"/>
      <c r="D94" s="1069"/>
      <c r="E94" s="917">
        <f>E36+E72+E86+E88+E54</f>
        <v>3194160</v>
      </c>
      <c r="F94" s="917">
        <f t="shared" ref="F94:P94" si="62">F36+F72+F86+F88+F54</f>
        <v>646832</v>
      </c>
      <c r="G94" s="917">
        <f t="shared" si="62"/>
        <v>12566908</v>
      </c>
      <c r="H94" s="917">
        <f t="shared" si="62"/>
        <v>0</v>
      </c>
      <c r="I94" s="917">
        <f t="shared" si="62"/>
        <v>100000</v>
      </c>
      <c r="J94" s="917">
        <f t="shared" si="62"/>
        <v>600000</v>
      </c>
      <c r="K94" s="917">
        <f t="shared" si="62"/>
        <v>0</v>
      </c>
      <c r="L94" s="917">
        <f>SUM(E94:K94)</f>
        <v>17107900</v>
      </c>
      <c r="M94" s="917">
        <f t="shared" si="62"/>
        <v>500000</v>
      </c>
      <c r="N94" s="917">
        <f t="shared" si="62"/>
        <v>0</v>
      </c>
      <c r="O94" s="917">
        <f t="shared" si="62"/>
        <v>0</v>
      </c>
      <c r="P94" s="917">
        <f t="shared" si="62"/>
        <v>0</v>
      </c>
      <c r="Q94" s="917">
        <f>SUM(L94:P94)</f>
        <v>17607900</v>
      </c>
      <c r="R94" s="918">
        <f>R36+R72+R86+R88+R54</f>
        <v>1</v>
      </c>
      <c r="S94" s="856"/>
      <c r="T94" s="257"/>
    </row>
    <row r="95" spans="1:20" s="22" customFormat="1" ht="12" customHeight="1" x14ac:dyDescent="0.2">
      <c r="A95" s="1076" t="s">
        <v>62</v>
      </c>
      <c r="B95" s="1077"/>
      <c r="C95" s="1077"/>
      <c r="D95" s="1077"/>
      <c r="E95" s="1077"/>
      <c r="F95" s="1077"/>
      <c r="G95" s="1077"/>
      <c r="H95" s="1077"/>
      <c r="I95" s="1077"/>
      <c r="J95" s="1077"/>
      <c r="K95" s="1077"/>
      <c r="L95" s="1077"/>
      <c r="M95" s="1077"/>
      <c r="N95" s="1077"/>
      <c r="O95" s="1077"/>
      <c r="P95" s="1077"/>
      <c r="Q95" s="1077"/>
      <c r="R95" s="1077"/>
      <c r="S95" s="854"/>
    </row>
    <row r="96" spans="1:20" s="22" customFormat="1" ht="24.75" customHeight="1" x14ac:dyDescent="0.2">
      <c r="A96" s="573">
        <v>19</v>
      </c>
      <c r="B96" s="574">
        <v>23</v>
      </c>
      <c r="C96" s="575" t="s">
        <v>70</v>
      </c>
      <c r="D96" s="576" t="s">
        <v>230</v>
      </c>
      <c r="E96" s="494"/>
      <c r="F96" s="494"/>
      <c r="G96" s="494"/>
      <c r="H96" s="494"/>
      <c r="I96" s="306">
        <v>150000000</v>
      </c>
      <c r="J96" s="494"/>
      <c r="K96" s="494"/>
      <c r="L96" s="494">
        <f>SUM(E96:K96)</f>
        <v>150000000</v>
      </c>
      <c r="M96" s="306"/>
      <c r="N96" s="577"/>
      <c r="O96" s="494">
        <v>0</v>
      </c>
      <c r="P96" s="494"/>
      <c r="Q96" s="495">
        <f>L96+M96+N96+O96+P96</f>
        <v>150000000</v>
      </c>
      <c r="R96" s="496">
        <v>0</v>
      </c>
      <c r="S96" s="854"/>
    </row>
    <row r="97" spans="1:21" s="22" customFormat="1" ht="25.5" customHeight="1" thickBot="1" x14ac:dyDescent="0.25">
      <c r="A97" s="573">
        <v>20</v>
      </c>
      <c r="B97" s="574">
        <v>24</v>
      </c>
      <c r="C97" s="575" t="s">
        <v>70</v>
      </c>
      <c r="D97" s="578" t="s">
        <v>231</v>
      </c>
      <c r="E97" s="494"/>
      <c r="F97" s="494"/>
      <c r="G97" s="492"/>
      <c r="H97" s="494"/>
      <c r="I97" s="494"/>
      <c r="J97" s="494">
        <v>7259435</v>
      </c>
      <c r="K97" s="494"/>
      <c r="L97" s="494">
        <f>J97</f>
        <v>7259435</v>
      </c>
      <c r="M97" s="919"/>
      <c r="N97" s="920"/>
      <c r="O97" s="494"/>
      <c r="P97" s="494"/>
      <c r="Q97" s="495">
        <f>L97+M97+N97+O97+P97</f>
        <v>7259435</v>
      </c>
      <c r="R97" s="386"/>
      <c r="S97" s="854"/>
    </row>
    <row r="98" spans="1:21" ht="36" customHeight="1" thickBot="1" x14ac:dyDescent="0.25">
      <c r="A98" s="1059" t="s">
        <v>392</v>
      </c>
      <c r="B98" s="1060"/>
      <c r="C98" s="1060"/>
      <c r="D98" s="1061"/>
      <c r="E98" s="787">
        <f>E91+E96+E97</f>
        <v>55144811</v>
      </c>
      <c r="F98" s="787">
        <f t="shared" ref="F98:K98" si="63">F91+F96+F97</f>
        <v>12151972.32</v>
      </c>
      <c r="G98" s="787">
        <f t="shared" si="63"/>
        <v>93338896</v>
      </c>
      <c r="H98" s="787">
        <f t="shared" si="63"/>
        <v>1605000</v>
      </c>
      <c r="I98" s="787">
        <f t="shared" si="63"/>
        <v>151350000</v>
      </c>
      <c r="J98" s="787">
        <f>J91+J96+J97</f>
        <v>87719804</v>
      </c>
      <c r="K98" s="787">
        <f t="shared" si="63"/>
        <v>16596058</v>
      </c>
      <c r="L98" s="787">
        <f>SUM(E98:K98)</f>
        <v>417906541.31999999</v>
      </c>
      <c r="M98" s="788">
        <f>M91+M96+M97</f>
        <v>359184260.5</v>
      </c>
      <c r="N98" s="789">
        <f t="shared" ref="N98:P98" si="64">N91+N96+N97</f>
        <v>0</v>
      </c>
      <c r="O98" s="587">
        <f t="shared" si="64"/>
        <v>0</v>
      </c>
      <c r="P98" s="587">
        <f t="shared" si="64"/>
        <v>0</v>
      </c>
      <c r="Q98" s="790">
        <f>SUM(L98:P98)</f>
        <v>777090801.81999993</v>
      </c>
      <c r="R98" s="791">
        <v>52.5</v>
      </c>
      <c r="S98" s="853"/>
      <c r="T98" s="190"/>
    </row>
    <row r="99" spans="1:21" ht="12.75" customHeight="1" thickBot="1" x14ac:dyDescent="0.25">
      <c r="A99" s="1062" t="s">
        <v>147</v>
      </c>
      <c r="B99" s="1063"/>
      <c r="C99" s="1063"/>
      <c r="D99" s="1063"/>
      <c r="E99" s="792">
        <f>E100+E101+E102</f>
        <v>166091682</v>
      </c>
      <c r="F99" s="792">
        <f t="shared" ref="F99:K99" si="65">F100+F101+F102</f>
        <v>34267840.720000006</v>
      </c>
      <c r="G99" s="792">
        <f t="shared" si="65"/>
        <v>131164481</v>
      </c>
      <c r="H99" s="792">
        <f t="shared" si="65"/>
        <v>3121000</v>
      </c>
      <c r="I99" s="792">
        <f t="shared" si="65"/>
        <v>151350000</v>
      </c>
      <c r="J99" s="792">
        <f t="shared" si="65"/>
        <v>87719804</v>
      </c>
      <c r="K99" s="792">
        <f t="shared" si="65"/>
        <v>16596058</v>
      </c>
      <c r="L99" s="792">
        <f>L100+L102+L101</f>
        <v>590310865.72000003</v>
      </c>
      <c r="M99" s="793">
        <f>M100+M101+M102</f>
        <v>361934260.5</v>
      </c>
      <c r="N99" s="792">
        <f>N28+N98</f>
        <v>0</v>
      </c>
      <c r="O99" s="792">
        <f>O28+O98</f>
        <v>0</v>
      </c>
      <c r="P99" s="792">
        <f>P28+P98</f>
        <v>0</v>
      </c>
      <c r="Q99" s="794">
        <f>SUM(L99:P99)</f>
        <v>952245126.22000003</v>
      </c>
      <c r="R99" s="873">
        <f>R100+R101+R102</f>
        <v>63</v>
      </c>
      <c r="S99" s="853"/>
    </row>
    <row r="100" spans="1:21" s="25" customFormat="1" ht="12.75" customHeight="1" thickBot="1" x14ac:dyDescent="0.25">
      <c r="A100" s="1057" t="s">
        <v>81</v>
      </c>
      <c r="B100" s="1058"/>
      <c r="C100" s="1058"/>
      <c r="D100" s="1058"/>
      <c r="E100" s="795">
        <f>E92+E29</f>
        <v>151206906</v>
      </c>
      <c r="F100" s="795">
        <f>F92+F29-1</f>
        <v>31342885.520000003</v>
      </c>
      <c r="G100" s="795">
        <f t="shared" ref="G100:P100" si="66">G92+G29</f>
        <v>114186788</v>
      </c>
      <c r="H100" s="795">
        <f>H92+H29</f>
        <v>3121000</v>
      </c>
      <c r="I100" s="795">
        <f>I92+I29+I96</f>
        <v>151250000</v>
      </c>
      <c r="J100" s="795">
        <f>J92+J29+J97</f>
        <v>87119804</v>
      </c>
      <c r="K100" s="795">
        <f t="shared" si="66"/>
        <v>16596058</v>
      </c>
      <c r="L100" s="795">
        <f>SUM(E100:K100)</f>
        <v>554823441.51999998</v>
      </c>
      <c r="M100" s="795">
        <f t="shared" si="66"/>
        <v>360934260.5</v>
      </c>
      <c r="N100" s="795">
        <f t="shared" si="66"/>
        <v>0</v>
      </c>
      <c r="O100" s="795">
        <f t="shared" si="66"/>
        <v>0</v>
      </c>
      <c r="P100" s="795">
        <f t="shared" si="66"/>
        <v>0</v>
      </c>
      <c r="Q100" s="796">
        <f>L100+M100+O100+P100</f>
        <v>915757702.01999998</v>
      </c>
      <c r="R100" s="797">
        <f>R29+R92</f>
        <v>58.5</v>
      </c>
      <c r="S100" s="857"/>
    </row>
    <row r="101" spans="1:21" s="25" customFormat="1" ht="12.75" customHeight="1" thickBot="1" x14ac:dyDescent="0.25">
      <c r="A101" s="1064" t="s">
        <v>88</v>
      </c>
      <c r="B101" s="1065"/>
      <c r="C101" s="1065"/>
      <c r="D101" s="1066"/>
      <c r="E101" s="798">
        <v>0</v>
      </c>
      <c r="F101" s="798">
        <v>0</v>
      </c>
      <c r="G101" s="798">
        <v>0</v>
      </c>
      <c r="H101" s="798">
        <v>0</v>
      </c>
      <c r="I101" s="799">
        <v>0</v>
      </c>
      <c r="J101" s="800">
        <v>0</v>
      </c>
      <c r="K101" s="795">
        <v>0</v>
      </c>
      <c r="L101" s="796">
        <f>SUM(E101:K101)</f>
        <v>0</v>
      </c>
      <c r="M101" s="801">
        <f>M93+M30</f>
        <v>0</v>
      </c>
      <c r="N101" s="802">
        <v>0</v>
      </c>
      <c r="O101" s="802">
        <v>0</v>
      </c>
      <c r="P101" s="802">
        <v>0</v>
      </c>
      <c r="Q101" s="803">
        <f>SUM(L101:P101)</f>
        <v>0</v>
      </c>
      <c r="R101" s="874">
        <v>0</v>
      </c>
      <c r="S101" s="857"/>
      <c r="U101" s="84"/>
    </row>
    <row r="102" spans="1:21" s="25" customFormat="1" ht="12.75" customHeight="1" thickBot="1" x14ac:dyDescent="0.25">
      <c r="A102" s="1057" t="s">
        <v>82</v>
      </c>
      <c r="B102" s="1058"/>
      <c r="C102" s="1058"/>
      <c r="D102" s="1058"/>
      <c r="E102" s="795">
        <f>E94+E31</f>
        <v>14884776</v>
      </c>
      <c r="F102" s="795">
        <f t="shared" ref="F102:P102" si="67">F94+F31</f>
        <v>2924955.2</v>
      </c>
      <c r="G102" s="795">
        <f t="shared" si="67"/>
        <v>16977693</v>
      </c>
      <c r="H102" s="795">
        <f t="shared" si="67"/>
        <v>0</v>
      </c>
      <c r="I102" s="795">
        <f t="shared" si="67"/>
        <v>100000</v>
      </c>
      <c r="J102" s="795">
        <f t="shared" si="67"/>
        <v>600000</v>
      </c>
      <c r="K102" s="795">
        <f t="shared" si="67"/>
        <v>0</v>
      </c>
      <c r="L102" s="795">
        <f t="shared" si="67"/>
        <v>35487424.200000003</v>
      </c>
      <c r="M102" s="795">
        <f t="shared" si="67"/>
        <v>1000000</v>
      </c>
      <c r="N102" s="795">
        <f t="shared" si="67"/>
        <v>0</v>
      </c>
      <c r="O102" s="795">
        <f t="shared" si="67"/>
        <v>0</v>
      </c>
      <c r="P102" s="795">
        <f t="shared" si="67"/>
        <v>0</v>
      </c>
      <c r="Q102" s="804">
        <f>SUM(L102:P102)</f>
        <v>36487424.200000003</v>
      </c>
      <c r="R102" s="875">
        <f>R31+R94</f>
        <v>4.5</v>
      </c>
      <c r="S102" s="857"/>
    </row>
    <row r="103" spans="1:21" ht="12.75" customHeight="1" x14ac:dyDescent="0.2">
      <c r="A103" s="231"/>
      <c r="B103" s="232"/>
      <c r="C103" s="427"/>
      <c r="D103" s="387"/>
      <c r="E103" s="387"/>
      <c r="F103" s="387"/>
      <c r="G103" s="387"/>
      <c r="H103" s="387"/>
      <c r="I103" s="387"/>
      <c r="J103" s="387"/>
      <c r="K103" s="387"/>
      <c r="L103" s="428"/>
      <c r="M103" s="429"/>
      <c r="N103" s="387"/>
      <c r="O103" s="387"/>
      <c r="P103" s="429"/>
      <c r="Q103" s="428"/>
      <c r="R103" s="430"/>
    </row>
    <row r="104" spans="1:21" ht="21" customHeight="1" x14ac:dyDescent="0.2">
      <c r="A104" s="231"/>
      <c r="B104" s="232"/>
      <c r="C104" s="427"/>
      <c r="D104" s="387"/>
      <c r="E104" s="431"/>
      <c r="F104" s="431"/>
      <c r="G104" s="431"/>
      <c r="H104" s="431"/>
      <c r="I104" s="431"/>
      <c r="J104" s="431"/>
      <c r="K104" s="431"/>
      <c r="L104" s="432"/>
      <c r="M104" s="431"/>
      <c r="N104" s="431"/>
      <c r="O104" s="431"/>
      <c r="P104" s="431"/>
      <c r="Q104" s="432"/>
      <c r="R104" s="430"/>
    </row>
    <row r="105" spans="1:21" ht="12.75" customHeight="1" x14ac:dyDescent="0.2">
      <c r="A105" s="231"/>
      <c r="B105" s="232"/>
      <c r="C105" s="427"/>
      <c r="D105" s="387"/>
      <c r="E105" s="431"/>
      <c r="F105" s="431"/>
      <c r="G105" s="431"/>
      <c r="H105" s="431"/>
      <c r="I105" s="431"/>
      <c r="J105" s="431"/>
      <c r="K105" s="431"/>
      <c r="L105" s="431"/>
      <c r="M105" s="431"/>
      <c r="N105" s="431"/>
      <c r="O105" s="431"/>
      <c r="P105" s="431"/>
      <c r="Q105" s="432"/>
      <c r="R105" s="387"/>
    </row>
    <row r="106" spans="1:21" ht="12.75" customHeight="1" x14ac:dyDescent="0.2">
      <c r="A106" s="231"/>
      <c r="B106" s="232"/>
      <c r="C106" s="427"/>
      <c r="D106" s="387"/>
      <c r="E106" s="431"/>
      <c r="F106" s="431"/>
      <c r="G106" s="431"/>
      <c r="H106" s="431"/>
      <c r="I106" s="431"/>
      <c r="J106" s="431"/>
      <c r="K106" s="431"/>
      <c r="L106" s="431"/>
      <c r="M106" s="431"/>
      <c r="N106" s="431"/>
      <c r="O106" s="431"/>
      <c r="P106" s="431"/>
      <c r="Q106" s="432"/>
      <c r="R106" s="387"/>
    </row>
    <row r="107" spans="1:21" ht="12.75" customHeight="1" x14ac:dyDescent="0.2">
      <c r="A107" s="231"/>
      <c r="B107" s="232"/>
      <c r="C107" s="427"/>
      <c r="D107" s="387"/>
      <c r="E107" s="431"/>
      <c r="F107" s="431"/>
      <c r="G107" s="431"/>
      <c r="H107" s="431"/>
      <c r="I107" s="431"/>
      <c r="J107" s="431"/>
      <c r="K107" s="431"/>
      <c r="L107" s="432"/>
      <c r="M107" s="431"/>
      <c r="N107" s="431"/>
      <c r="O107" s="431"/>
      <c r="P107" s="431"/>
      <c r="Q107" s="432"/>
      <c r="R107" s="387"/>
    </row>
    <row r="108" spans="1:21" ht="12.75" customHeight="1" x14ac:dyDescent="0.2">
      <c r="A108" s="231"/>
      <c r="B108" s="232"/>
      <c r="C108" s="427"/>
      <c r="D108" s="387"/>
      <c r="E108" s="431"/>
      <c r="F108" s="431"/>
      <c r="G108" s="431"/>
      <c r="H108" s="431"/>
      <c r="I108" s="431"/>
      <c r="J108" s="431"/>
      <c r="K108" s="431"/>
      <c r="L108" s="432"/>
      <c r="M108" s="431"/>
      <c r="N108" s="431"/>
      <c r="O108" s="431"/>
      <c r="P108" s="431"/>
      <c r="Q108" s="432"/>
      <c r="R108" s="433"/>
    </row>
    <row r="109" spans="1:21" ht="12.75" customHeight="1" x14ac:dyDescent="0.2">
      <c r="A109" s="231"/>
      <c r="B109" s="232"/>
      <c r="C109" s="427"/>
      <c r="D109" s="387"/>
      <c r="E109" s="431"/>
      <c r="F109" s="431"/>
      <c r="G109" s="431"/>
      <c r="H109" s="431"/>
      <c r="I109" s="431"/>
      <c r="J109" s="431"/>
      <c r="K109" s="431"/>
      <c r="L109" s="431"/>
      <c r="M109" s="431"/>
      <c r="N109" s="431"/>
      <c r="O109" s="431"/>
      <c r="P109" s="431"/>
      <c r="Q109" s="432"/>
      <c r="R109" s="387"/>
    </row>
    <row r="110" spans="1:21" ht="12.75" customHeight="1" x14ac:dyDescent="0.2">
      <c r="A110" s="231"/>
      <c r="B110" s="232"/>
      <c r="C110" s="427"/>
      <c r="D110" s="387"/>
      <c r="E110" s="431"/>
      <c r="F110" s="431"/>
      <c r="G110" s="431"/>
      <c r="H110" s="431"/>
      <c r="I110" s="431"/>
      <c r="J110" s="431"/>
      <c r="K110" s="431"/>
      <c r="L110" s="431"/>
      <c r="M110" s="431"/>
      <c r="N110" s="431"/>
      <c r="O110" s="431"/>
      <c r="P110" s="431"/>
      <c r="Q110" s="432"/>
      <c r="R110" s="387"/>
    </row>
    <row r="111" spans="1:21" ht="12.75" customHeight="1" x14ac:dyDescent="0.2">
      <c r="A111" s="231"/>
      <c r="B111" s="232"/>
      <c r="C111" s="427"/>
      <c r="D111" s="387"/>
      <c r="E111" s="431"/>
      <c r="F111" s="431"/>
      <c r="G111" s="431"/>
      <c r="H111" s="431"/>
      <c r="I111" s="431"/>
      <c r="J111" s="431"/>
      <c r="K111" s="431"/>
      <c r="L111" s="432"/>
      <c r="M111" s="431"/>
      <c r="N111" s="431"/>
      <c r="O111" s="431"/>
      <c r="P111" s="431"/>
      <c r="Q111" s="432"/>
      <c r="R111" s="433"/>
    </row>
    <row r="112" spans="1:21" ht="12.75" customHeight="1" x14ac:dyDescent="0.2">
      <c r="A112" s="231"/>
      <c r="B112" s="232"/>
      <c r="C112" s="427"/>
      <c r="D112" s="387"/>
      <c r="E112" s="431"/>
      <c r="F112" s="431"/>
      <c r="G112" s="431"/>
      <c r="H112" s="431"/>
      <c r="I112" s="431"/>
      <c r="J112" s="431"/>
      <c r="K112" s="431"/>
      <c r="L112" s="432"/>
      <c r="M112" s="431"/>
      <c r="N112" s="431"/>
      <c r="O112" s="431"/>
      <c r="P112" s="431"/>
      <c r="Q112" s="432"/>
      <c r="R112" s="387"/>
    </row>
    <row r="113" spans="1:18" ht="12.75" customHeight="1" x14ac:dyDescent="0.2">
      <c r="A113" s="231"/>
      <c r="B113" s="232"/>
      <c r="C113" s="427"/>
      <c r="D113" s="387"/>
      <c r="E113" s="387"/>
      <c r="F113" s="387"/>
      <c r="G113" s="387"/>
      <c r="H113" s="387"/>
      <c r="I113" s="387"/>
      <c r="J113" s="387"/>
      <c r="K113" s="387"/>
      <c r="L113" s="428"/>
      <c r="M113" s="387"/>
      <c r="N113" s="387"/>
      <c r="O113" s="387"/>
      <c r="P113" s="387"/>
      <c r="Q113" s="428"/>
      <c r="R113" s="387"/>
    </row>
    <row r="114" spans="1:18" ht="12.75" customHeight="1" x14ac:dyDescent="0.2">
      <c r="A114" s="231"/>
      <c r="B114" s="232"/>
      <c r="C114" s="427"/>
      <c r="D114" s="387"/>
      <c r="E114" s="387"/>
      <c r="F114" s="387"/>
      <c r="G114" s="387"/>
      <c r="H114" s="387"/>
      <c r="I114" s="387"/>
      <c r="J114" s="387"/>
      <c r="K114" s="387"/>
      <c r="L114" s="428"/>
      <c r="M114" s="387"/>
      <c r="N114" s="387"/>
      <c r="O114" s="387"/>
      <c r="P114" s="387"/>
      <c r="Q114" s="428"/>
      <c r="R114" s="434"/>
    </row>
    <row r="115" spans="1:18" ht="12.75" customHeight="1" x14ac:dyDescent="0.2">
      <c r="A115" s="231"/>
      <c r="B115" s="232"/>
      <c r="C115" s="427"/>
      <c r="D115" s="387"/>
      <c r="E115" s="387"/>
      <c r="F115" s="387"/>
      <c r="G115" s="387"/>
      <c r="H115" s="387"/>
      <c r="I115" s="387"/>
      <c r="J115" s="387"/>
      <c r="K115" s="387"/>
      <c r="L115" s="428"/>
      <c r="M115" s="387"/>
      <c r="N115" s="387"/>
      <c r="O115" s="387"/>
      <c r="P115" s="387"/>
      <c r="Q115" s="428"/>
      <c r="R115" s="387"/>
    </row>
    <row r="116" spans="1:18" ht="12.75" customHeight="1" x14ac:dyDescent="0.2">
      <c r="A116" s="231"/>
      <c r="B116" s="232"/>
      <c r="C116" s="427"/>
      <c r="D116" s="387"/>
      <c r="E116" s="387"/>
      <c r="F116" s="387"/>
      <c r="G116" s="387"/>
      <c r="H116" s="387"/>
      <c r="I116" s="387"/>
      <c r="J116" s="387"/>
      <c r="K116" s="387"/>
      <c r="L116" s="428"/>
      <c r="M116" s="387"/>
      <c r="N116" s="387"/>
      <c r="O116" s="387"/>
      <c r="P116" s="387"/>
      <c r="Q116" s="428"/>
      <c r="R116" s="387"/>
    </row>
    <row r="117" spans="1:18" ht="12.75" customHeight="1" x14ac:dyDescent="0.2">
      <c r="A117" s="231"/>
      <c r="B117" s="232"/>
      <c r="C117" s="427"/>
      <c r="D117" s="387"/>
      <c r="E117" s="387"/>
      <c r="F117" s="387"/>
      <c r="G117" s="387"/>
      <c r="H117" s="387"/>
      <c r="I117" s="387"/>
      <c r="J117" s="387"/>
      <c r="K117" s="387"/>
      <c r="L117" s="428"/>
      <c r="M117" s="387"/>
      <c r="N117" s="387"/>
      <c r="O117" s="387"/>
      <c r="P117" s="387"/>
      <c r="Q117" s="428"/>
      <c r="R117" s="387"/>
    </row>
    <row r="118" spans="1:18" ht="12.75" customHeight="1" x14ac:dyDescent="0.2">
      <c r="A118" s="231"/>
      <c r="B118" s="232"/>
      <c r="C118" s="427"/>
      <c r="D118" s="387"/>
      <c r="E118" s="387"/>
      <c r="F118" s="387"/>
      <c r="G118" s="387"/>
      <c r="H118" s="387"/>
      <c r="I118" s="387"/>
      <c r="J118" s="387"/>
      <c r="K118" s="387"/>
      <c r="L118" s="428"/>
      <c r="M118" s="387"/>
      <c r="N118" s="387"/>
      <c r="O118" s="387"/>
      <c r="P118" s="387"/>
      <c r="Q118" s="428"/>
      <c r="R118" s="434"/>
    </row>
    <row r="119" spans="1:18" ht="12.75" customHeight="1" x14ac:dyDescent="0.2">
      <c r="A119" s="231"/>
      <c r="B119" s="232"/>
      <c r="C119" s="427"/>
      <c r="D119" s="387"/>
      <c r="E119" s="387"/>
      <c r="F119" s="387"/>
      <c r="G119" s="387"/>
      <c r="H119" s="387"/>
      <c r="I119" s="387"/>
      <c r="J119" s="387"/>
      <c r="K119" s="387"/>
      <c r="L119" s="428"/>
      <c r="M119" s="387"/>
      <c r="N119" s="387"/>
      <c r="O119" s="387"/>
      <c r="P119" s="387"/>
      <c r="Q119" s="428"/>
      <c r="R119" s="387"/>
    </row>
    <row r="120" spans="1:18" ht="12.75" customHeight="1" x14ac:dyDescent="0.2">
      <c r="A120" s="231"/>
      <c r="B120" s="232"/>
      <c r="C120" s="427"/>
      <c r="D120" s="387"/>
      <c r="E120" s="387"/>
      <c r="F120" s="387"/>
      <c r="G120" s="387"/>
      <c r="H120" s="387"/>
      <c r="I120" s="387"/>
      <c r="J120" s="387"/>
      <c r="K120" s="387"/>
      <c r="L120" s="428"/>
      <c r="M120" s="387"/>
      <c r="N120" s="387"/>
      <c r="O120" s="387"/>
      <c r="P120" s="387"/>
      <c r="Q120" s="428"/>
      <c r="R120" s="433"/>
    </row>
    <row r="121" spans="1:18" ht="12.75" customHeight="1" x14ac:dyDescent="0.2">
      <c r="R121" s="382"/>
    </row>
  </sheetData>
  <sortState ref="D51:R59">
    <sortCondition ref="D51"/>
  </sortState>
  <mergeCells count="29">
    <mergeCell ref="I6:I7"/>
    <mergeCell ref="A102:D102"/>
    <mergeCell ref="A98:D98"/>
    <mergeCell ref="A99:D99"/>
    <mergeCell ref="A101:D101"/>
    <mergeCell ref="A100:D100"/>
    <mergeCell ref="A94:D94"/>
    <mergeCell ref="A91:D91"/>
    <mergeCell ref="A93:D93"/>
    <mergeCell ref="A92:D92"/>
    <mergeCell ref="A95:R95"/>
    <mergeCell ref="B8:B10"/>
    <mergeCell ref="C8:C10"/>
    <mergeCell ref="N1:R1"/>
    <mergeCell ref="A29:D29"/>
    <mergeCell ref="A31:D31"/>
    <mergeCell ref="A6:B6"/>
    <mergeCell ref="C5:C7"/>
    <mergeCell ref="A28:D28"/>
    <mergeCell ref="N5:P5"/>
    <mergeCell ref="N6:N7"/>
    <mergeCell ref="I5:K5"/>
    <mergeCell ref="A5:B5"/>
    <mergeCell ref="A7:B7"/>
    <mergeCell ref="K6:K7"/>
    <mergeCell ref="P6:P7"/>
    <mergeCell ref="J6:J7"/>
    <mergeCell ref="O6:O7"/>
    <mergeCell ref="A30:D30"/>
  </mergeCells>
  <phoneticPr fontId="1" type="noConversion"/>
  <printOptions horizontalCentered="1" verticalCentered="1"/>
  <pageMargins left="0.39370078740157483" right="0.39370078740157483" top="0.39370078740157483" bottom="0.39370078740157483" header="0" footer="0"/>
  <pageSetup paperSize="9" scale="80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view="pageBreakPreview" topLeftCell="A13" zoomScaleSheetLayoutView="100" workbookViewId="0">
      <selection activeCell="C39" sqref="C39"/>
    </sheetView>
  </sheetViews>
  <sheetFormatPr defaultRowHeight="12" customHeight="1" x14ac:dyDescent="0.2"/>
  <cols>
    <col min="1" max="1" width="3.28515625" style="102" customWidth="1"/>
    <col min="2" max="2" width="3.140625" style="246" customWidth="1"/>
    <col min="3" max="3" width="91.28515625" style="247" customWidth="1"/>
    <col min="4" max="4" width="14.140625" style="101" customWidth="1"/>
    <col min="5" max="5" width="9.140625" style="15"/>
    <col min="6" max="6" width="11.28515625" style="15" customWidth="1"/>
    <col min="7" max="7" width="10.7109375" style="15" customWidth="1"/>
    <col min="8" max="8" width="17.85546875" style="15" customWidth="1"/>
    <col min="9" max="16384" width="9.140625" style="15"/>
  </cols>
  <sheetData>
    <row r="1" spans="1:7" ht="12" customHeight="1" x14ac:dyDescent="0.2">
      <c r="C1" s="1086"/>
      <c r="D1" s="1086"/>
    </row>
    <row r="2" spans="1:7" ht="12" customHeight="1" x14ac:dyDescent="0.2">
      <c r="D2" s="102"/>
    </row>
    <row r="3" spans="1:7" ht="36" customHeight="1" x14ac:dyDescent="0.2">
      <c r="D3" s="102"/>
    </row>
    <row r="4" spans="1:7" ht="16.5" customHeight="1" thickBot="1" x14ac:dyDescent="0.25"/>
    <row r="5" spans="1:7" s="16" customFormat="1" ht="18.75" customHeight="1" x14ac:dyDescent="0.2">
      <c r="A5" s="1087" t="s">
        <v>27</v>
      </c>
      <c r="B5" s="1088"/>
      <c r="C5" s="1089"/>
      <c r="D5" s="435"/>
    </row>
    <row r="6" spans="1:7" s="17" customFormat="1" ht="12.75" customHeight="1" x14ac:dyDescent="0.2">
      <c r="A6" s="714" t="s">
        <v>33</v>
      </c>
      <c r="B6" s="715"/>
      <c r="C6" s="697" t="s">
        <v>36</v>
      </c>
      <c r="D6" s="695">
        <f>D8+D37</f>
        <v>301941418.5</v>
      </c>
    </row>
    <row r="7" spans="1:7" s="17" customFormat="1" ht="8.25" customHeight="1" x14ac:dyDescent="0.2">
      <c r="A7" s="714"/>
      <c r="B7" s="715"/>
      <c r="C7" s="697"/>
      <c r="D7" s="695"/>
    </row>
    <row r="8" spans="1:7" s="16" customFormat="1" ht="15" customHeight="1" x14ac:dyDescent="0.2">
      <c r="A8" s="852"/>
      <c r="B8" s="716" t="s">
        <v>15</v>
      </c>
      <c r="C8" s="694" t="s">
        <v>86</v>
      </c>
      <c r="D8" s="850">
        <f>D9+D31+D33+D35</f>
        <v>66189006</v>
      </c>
      <c r="G8" s="223"/>
    </row>
    <row r="9" spans="1:7" s="16" customFormat="1" ht="15" customHeight="1" x14ac:dyDescent="0.2">
      <c r="A9" s="852"/>
      <c r="B9" s="716"/>
      <c r="C9" s="701" t="s">
        <v>249</v>
      </c>
      <c r="D9" s="702">
        <f>D10+D12+D14+D19+D21+D25+D29+D17+D23+D27</f>
        <v>63439006</v>
      </c>
      <c r="F9" s="308"/>
      <c r="G9" s="223"/>
    </row>
    <row r="10" spans="1:7" s="16" customFormat="1" ht="15" customHeight="1" x14ac:dyDescent="0.2">
      <c r="A10" s="883"/>
      <c r="B10" s="717"/>
      <c r="C10" s="684" t="s">
        <v>382</v>
      </c>
      <c r="D10" s="685">
        <f>D11</f>
        <v>500000</v>
      </c>
      <c r="F10" s="308"/>
      <c r="G10" s="223"/>
    </row>
    <row r="11" spans="1:7" s="16" customFormat="1" ht="15" customHeight="1" x14ac:dyDescent="0.2">
      <c r="A11" s="852"/>
      <c r="B11" s="716"/>
      <c r="C11" s="686" t="s">
        <v>294</v>
      </c>
      <c r="D11" s="703">
        <f>'5 kiadások'!M38</f>
        <v>500000</v>
      </c>
      <c r="F11" s="308"/>
      <c r="G11" s="223"/>
    </row>
    <row r="12" spans="1:7" s="16" customFormat="1" ht="15" customHeight="1" x14ac:dyDescent="0.2">
      <c r="A12" s="883"/>
      <c r="B12" s="717"/>
      <c r="C12" s="684" t="s">
        <v>379</v>
      </c>
      <c r="D12" s="685">
        <f>D13</f>
        <v>380000</v>
      </c>
      <c r="F12" s="308"/>
      <c r="G12" s="223"/>
    </row>
    <row r="13" spans="1:7" s="16" customFormat="1" ht="15" customHeight="1" x14ac:dyDescent="0.2">
      <c r="A13" s="852"/>
      <c r="B13" s="716"/>
      <c r="C13" s="686" t="s">
        <v>294</v>
      </c>
      <c r="D13" s="687">
        <f>'5 kiadások'!M50</f>
        <v>380000</v>
      </c>
      <c r="G13" s="308"/>
    </row>
    <row r="14" spans="1:7" s="16" customFormat="1" ht="15" customHeight="1" x14ac:dyDescent="0.2">
      <c r="A14" s="883"/>
      <c r="B14" s="717"/>
      <c r="C14" s="832" t="s">
        <v>258</v>
      </c>
      <c r="D14" s="688">
        <f>D15+D16</f>
        <v>57509006</v>
      </c>
      <c r="G14" s="308"/>
    </row>
    <row r="15" spans="1:7" s="16" customFormat="1" ht="15" customHeight="1" x14ac:dyDescent="0.2">
      <c r="A15" s="852"/>
      <c r="B15" s="716"/>
      <c r="C15" s="686" t="s">
        <v>411</v>
      </c>
      <c r="D15" s="687">
        <f>'5 kiadások'!M51</f>
        <v>7509006</v>
      </c>
    </row>
    <row r="16" spans="1:7" s="16" customFormat="1" ht="15" customHeight="1" x14ac:dyDescent="0.2">
      <c r="A16" s="884"/>
      <c r="B16" s="716"/>
      <c r="C16" s="686" t="s">
        <v>409</v>
      </c>
      <c r="D16" s="687">
        <f>'5 kiadások'!M60</f>
        <v>50000000</v>
      </c>
    </row>
    <row r="17" spans="1:7" s="16" customFormat="1" ht="15" customHeight="1" x14ac:dyDescent="0.2">
      <c r="A17" s="885"/>
      <c r="B17" s="717"/>
      <c r="C17" s="832" t="s">
        <v>405</v>
      </c>
      <c r="D17" s="685">
        <f>D18</f>
        <v>750000</v>
      </c>
    </row>
    <row r="18" spans="1:7" s="16" customFormat="1" ht="15" customHeight="1" x14ac:dyDescent="0.2">
      <c r="A18" s="884"/>
      <c r="B18" s="716"/>
      <c r="C18" s="686" t="s">
        <v>294</v>
      </c>
      <c r="D18" s="687">
        <f>'5 kiadások'!M46</f>
        <v>750000</v>
      </c>
    </row>
    <row r="19" spans="1:7" s="16" customFormat="1" ht="15" customHeight="1" x14ac:dyDescent="0.2">
      <c r="A19" s="886"/>
      <c r="B19" s="717"/>
      <c r="C19" s="887" t="s">
        <v>372</v>
      </c>
      <c r="D19" s="688">
        <f>D20</f>
        <v>100000</v>
      </c>
    </row>
    <row r="20" spans="1:7" s="16" customFormat="1" ht="15" customHeight="1" x14ac:dyDescent="0.2">
      <c r="A20" s="852"/>
      <c r="B20" s="716"/>
      <c r="C20" s="686" t="s">
        <v>294</v>
      </c>
      <c r="D20" s="687">
        <f>'5 kiadások'!M81</f>
        <v>100000</v>
      </c>
    </row>
    <row r="21" spans="1:7" s="16" customFormat="1" ht="15" customHeight="1" x14ac:dyDescent="0.2">
      <c r="A21" s="852"/>
      <c r="B21" s="716"/>
      <c r="C21" s="832" t="s">
        <v>313</v>
      </c>
      <c r="D21" s="688">
        <f>D22</f>
        <v>500000</v>
      </c>
    </row>
    <row r="22" spans="1:7" s="16" customFormat="1" ht="15" customHeight="1" x14ac:dyDescent="0.2">
      <c r="A22" s="852"/>
      <c r="B22" s="716"/>
      <c r="C22" s="686" t="s">
        <v>366</v>
      </c>
      <c r="D22" s="687">
        <f>'5 kiadások'!M86</f>
        <v>500000</v>
      </c>
    </row>
    <row r="23" spans="1:7" s="16" customFormat="1" ht="15" customHeight="1" x14ac:dyDescent="0.2">
      <c r="A23" s="852"/>
      <c r="B23" s="717"/>
      <c r="C23" s="684" t="s">
        <v>406</v>
      </c>
      <c r="D23" s="685">
        <f>D24</f>
        <v>1000000</v>
      </c>
    </row>
    <row r="24" spans="1:7" s="16" customFormat="1" ht="15" customHeight="1" x14ac:dyDescent="0.2">
      <c r="A24" s="852"/>
      <c r="B24" s="716"/>
      <c r="C24" s="686" t="s">
        <v>407</v>
      </c>
      <c r="D24" s="687">
        <f>'5 kiadások'!M53</f>
        <v>1000000</v>
      </c>
    </row>
    <row r="25" spans="1:7" ht="12.75" x14ac:dyDescent="0.2">
      <c r="A25" s="852"/>
      <c r="B25" s="718"/>
      <c r="C25" s="689" t="s">
        <v>298</v>
      </c>
      <c r="D25" s="685">
        <f>D26</f>
        <v>1500000</v>
      </c>
      <c r="E25" s="218"/>
    </row>
    <row r="26" spans="1:7" ht="12.75" x14ac:dyDescent="0.2">
      <c r="A26" s="852"/>
      <c r="B26" s="718"/>
      <c r="C26" s="691" t="s">
        <v>294</v>
      </c>
      <c r="D26" s="699">
        <f>'5 kiadások'!M85</f>
        <v>1500000</v>
      </c>
      <c r="F26" s="218"/>
      <c r="G26" s="219"/>
    </row>
    <row r="27" spans="1:7" ht="12.75" x14ac:dyDescent="0.2">
      <c r="A27" s="883"/>
      <c r="B27" s="843"/>
      <c r="C27" s="845" t="s">
        <v>314</v>
      </c>
      <c r="D27" s="844">
        <f>D28</f>
        <v>200000</v>
      </c>
      <c r="F27" s="218"/>
      <c r="G27" s="219"/>
    </row>
    <row r="28" spans="1:7" ht="12.75" x14ac:dyDescent="0.2">
      <c r="A28" s="852"/>
      <c r="B28" s="718"/>
      <c r="C28" s="691" t="s">
        <v>410</v>
      </c>
      <c r="D28" s="699">
        <f>'5 kiadások'!M82</f>
        <v>200000</v>
      </c>
      <c r="F28" s="218"/>
      <c r="G28" s="219"/>
    </row>
    <row r="29" spans="1:7" ht="12.75" x14ac:dyDescent="0.2">
      <c r="A29" s="888"/>
      <c r="B29" s="833"/>
      <c r="C29" s="835" t="s">
        <v>63</v>
      </c>
      <c r="D29" s="834">
        <f>D30</f>
        <v>1000000</v>
      </c>
      <c r="F29" s="218"/>
      <c r="G29" s="219"/>
    </row>
    <row r="30" spans="1:7" ht="12.75" x14ac:dyDescent="0.2">
      <c r="A30" s="852"/>
      <c r="B30" s="718"/>
      <c r="C30" s="691" t="s">
        <v>294</v>
      </c>
      <c r="D30" s="699">
        <f>'5 kiadások'!M84</f>
        <v>1000000</v>
      </c>
      <c r="F30" s="218"/>
      <c r="G30" s="219"/>
    </row>
    <row r="31" spans="1:7" ht="13.5" x14ac:dyDescent="0.2">
      <c r="A31" s="852"/>
      <c r="B31" s="718"/>
      <c r="C31" s="704" t="s">
        <v>225</v>
      </c>
      <c r="D31" s="705">
        <f>SUM(D32:D32)</f>
        <v>1750000</v>
      </c>
      <c r="F31" s="218"/>
    </row>
    <row r="32" spans="1:7" ht="12.75" x14ac:dyDescent="0.2">
      <c r="A32" s="852"/>
      <c r="B32" s="718"/>
      <c r="C32" s="690" t="s">
        <v>294</v>
      </c>
      <c r="D32" s="687">
        <f>'5 kiadások'!M16</f>
        <v>1750000</v>
      </c>
      <c r="E32" s="218"/>
    </row>
    <row r="33" spans="1:6" s="102" customFormat="1" ht="13.5" x14ac:dyDescent="0.2">
      <c r="A33" s="852"/>
      <c r="B33" s="718"/>
      <c r="C33" s="704" t="s">
        <v>248</v>
      </c>
      <c r="D33" s="705">
        <f>D34</f>
        <v>500000</v>
      </c>
      <c r="F33" s="388"/>
    </row>
    <row r="34" spans="1:6" s="102" customFormat="1" ht="12.75" x14ac:dyDescent="0.2">
      <c r="A34" s="852"/>
      <c r="B34" s="718"/>
      <c r="C34" s="706" t="s">
        <v>304</v>
      </c>
      <c r="D34" s="682">
        <f>'5 kiadások'!M8</f>
        <v>500000</v>
      </c>
      <c r="F34" s="388"/>
    </row>
    <row r="35" spans="1:6" ht="13.5" x14ac:dyDescent="0.2">
      <c r="A35" s="852"/>
      <c r="B35" s="718"/>
      <c r="C35" s="707" t="s">
        <v>226</v>
      </c>
      <c r="D35" s="708">
        <f>D36</f>
        <v>500000</v>
      </c>
    </row>
    <row r="36" spans="1:6" ht="12.75" x14ac:dyDescent="0.2">
      <c r="A36" s="852"/>
      <c r="B36" s="718"/>
      <c r="C36" s="691" t="s">
        <v>294</v>
      </c>
      <c r="D36" s="682">
        <f>'5 kiadások'!M25</f>
        <v>500000</v>
      </c>
    </row>
    <row r="37" spans="1:6" s="191" customFormat="1" ht="18" customHeight="1" thickBot="1" x14ac:dyDescent="0.25">
      <c r="A37" s="852"/>
      <c r="B37" s="716" t="s">
        <v>16</v>
      </c>
      <c r="C37" s="696" t="s">
        <v>83</v>
      </c>
      <c r="D37" s="850">
        <f>D38</f>
        <v>235752412.5</v>
      </c>
    </row>
    <row r="38" spans="1:6" ht="18" customHeight="1" x14ac:dyDescent="0.2">
      <c r="A38" s="852"/>
      <c r="B38" s="716">
        <v>1</v>
      </c>
      <c r="C38" s="697" t="s">
        <v>250</v>
      </c>
      <c r="D38" s="682">
        <f>SUM(D42+D45+D46+D49+D50+D51)+D48+D39</f>
        <v>235752412.5</v>
      </c>
    </row>
    <row r="39" spans="1:6" ht="13.5" customHeight="1" x14ac:dyDescent="0.2">
      <c r="A39" s="852"/>
      <c r="B39" s="716"/>
      <c r="C39" s="486" t="s">
        <v>295</v>
      </c>
      <c r="D39" s="682">
        <f>D40+D41</f>
        <v>0</v>
      </c>
    </row>
    <row r="40" spans="1:6" ht="12.75" customHeight="1" x14ac:dyDescent="0.2">
      <c r="A40" s="852"/>
      <c r="B40" s="716"/>
      <c r="C40" s="690" t="s">
        <v>296</v>
      </c>
      <c r="D40" s="682"/>
    </row>
    <row r="41" spans="1:6" ht="12.75" customHeight="1" x14ac:dyDescent="0.2">
      <c r="A41" s="852"/>
      <c r="B41" s="716"/>
      <c r="C41" s="691" t="s">
        <v>297</v>
      </c>
      <c r="D41" s="682"/>
    </row>
    <row r="42" spans="1:6" ht="13.5" customHeight="1" x14ac:dyDescent="0.2">
      <c r="A42" s="852"/>
      <c r="B42" s="717"/>
      <c r="C42" s="689" t="s">
        <v>403</v>
      </c>
      <c r="D42" s="688">
        <f>'5 kiadások'!M62</f>
        <v>0</v>
      </c>
    </row>
    <row r="43" spans="1:6" ht="13.5" customHeight="1" x14ac:dyDescent="0.2">
      <c r="A43" s="852"/>
      <c r="B43" s="719"/>
      <c r="C43" s="690" t="s">
        <v>296</v>
      </c>
      <c r="D43" s="687">
        <v>0</v>
      </c>
    </row>
    <row r="44" spans="1:6" ht="12.75" customHeight="1" x14ac:dyDescent="0.2">
      <c r="A44" s="852"/>
      <c r="B44" s="716"/>
      <c r="C44" s="691" t="s">
        <v>297</v>
      </c>
      <c r="D44" s="682">
        <v>0</v>
      </c>
    </row>
    <row r="45" spans="1:6" ht="15.75" customHeight="1" x14ac:dyDescent="0.2">
      <c r="A45" s="852"/>
      <c r="B45" s="720"/>
      <c r="C45" s="689" t="s">
        <v>278</v>
      </c>
      <c r="D45" s="688">
        <f>124844972+2837856+3094638+4000000-5315204+522518</f>
        <v>129984780</v>
      </c>
      <c r="F45" s="218"/>
    </row>
    <row r="46" spans="1:6" ht="15.75" customHeight="1" x14ac:dyDescent="0.2">
      <c r="A46" s="852"/>
      <c r="B46" s="720"/>
      <c r="C46" s="689" t="s">
        <v>285</v>
      </c>
      <c r="D46" s="688">
        <f>D47</f>
        <v>10740000</v>
      </c>
      <c r="F46" s="218"/>
    </row>
    <row r="47" spans="1:6" ht="15.75" customHeight="1" x14ac:dyDescent="0.2">
      <c r="A47" s="852"/>
      <c r="B47" s="720"/>
      <c r="C47" s="691" t="s">
        <v>286</v>
      </c>
      <c r="D47" s="682">
        <v>10740000</v>
      </c>
      <c r="F47" s="218"/>
    </row>
    <row r="48" spans="1:6" ht="15.75" customHeight="1" x14ac:dyDescent="0.2">
      <c r="A48" s="852"/>
      <c r="B48" s="720"/>
      <c r="C48" s="689" t="s">
        <v>320</v>
      </c>
      <c r="D48" s="688">
        <f>746803+227960</f>
        <v>974763</v>
      </c>
      <c r="F48" s="218"/>
    </row>
    <row r="49" spans="1:8" ht="15.75" customHeight="1" x14ac:dyDescent="0.2">
      <c r="A49" s="852"/>
      <c r="B49" s="720"/>
      <c r="C49" s="712" t="s">
        <v>301</v>
      </c>
      <c r="D49" s="685">
        <v>8769066</v>
      </c>
      <c r="F49" s="218"/>
    </row>
    <row r="50" spans="1:8" ht="15.75" customHeight="1" x14ac:dyDescent="0.2">
      <c r="A50" s="852"/>
      <c r="B50" s="720"/>
      <c r="C50" s="712" t="s">
        <v>303</v>
      </c>
      <c r="D50" s="685">
        <v>750000</v>
      </c>
    </row>
    <row r="51" spans="1:8" s="102" customFormat="1" ht="12" customHeight="1" x14ac:dyDescent="0.2">
      <c r="A51" s="852"/>
      <c r="B51" s="720"/>
      <c r="C51" s="721" t="s">
        <v>380</v>
      </c>
      <c r="D51" s="688">
        <f>66562050*1.27</f>
        <v>84533803.5</v>
      </c>
    </row>
    <row r="52" spans="1:8" s="102" customFormat="1" ht="12" customHeight="1" x14ac:dyDescent="0.2">
      <c r="A52" s="1094"/>
      <c r="B52" s="1095"/>
      <c r="C52" s="1095"/>
      <c r="D52" s="1096"/>
    </row>
    <row r="53" spans="1:8" ht="14.25" customHeight="1" x14ac:dyDescent="0.2">
      <c r="A53" s="851" t="s">
        <v>34</v>
      </c>
      <c r="B53" s="720"/>
      <c r="C53" s="697" t="s">
        <v>61</v>
      </c>
      <c r="D53" s="850">
        <f>D55+D61</f>
        <v>59992842</v>
      </c>
      <c r="F53" s="218"/>
    </row>
    <row r="54" spans="1:8" ht="14.25" customHeight="1" x14ac:dyDescent="0.2">
      <c r="A54" s="851"/>
      <c r="B54" s="720"/>
      <c r="C54" s="698"/>
      <c r="D54" s="699"/>
      <c r="F54" s="218"/>
      <c r="G54" s="218"/>
    </row>
    <row r="55" spans="1:8" s="28" customFormat="1" ht="14.25" customHeight="1" x14ac:dyDescent="0.2">
      <c r="A55" s="851"/>
      <c r="B55" s="716" t="s">
        <v>15</v>
      </c>
      <c r="C55" s="694" t="s">
        <v>86</v>
      </c>
      <c r="D55" s="850">
        <f>D56+D58+D59+D60+D57</f>
        <v>22766342</v>
      </c>
    </row>
    <row r="56" spans="1:8" s="28" customFormat="1" ht="14.25" customHeight="1" x14ac:dyDescent="0.2">
      <c r="A56" s="851"/>
      <c r="B56" s="716"/>
      <c r="C56" s="681" t="s">
        <v>398</v>
      </c>
      <c r="D56" s="682">
        <f>'5 kiadások'!M58</f>
        <v>17647059</v>
      </c>
    </row>
    <row r="57" spans="1:8" s="28" customFormat="1" ht="14.25" customHeight="1" thickBot="1" x14ac:dyDescent="0.25">
      <c r="A57" s="851"/>
      <c r="B57" s="722"/>
      <c r="C57" s="681" t="s">
        <v>399</v>
      </c>
      <c r="D57" s="683">
        <f>'5 kiadások'!M59</f>
        <v>2647059</v>
      </c>
    </row>
    <row r="58" spans="1:8" s="28" customFormat="1" ht="14.25" customHeight="1" thickBot="1" x14ac:dyDescent="0.25">
      <c r="A58" s="851"/>
      <c r="B58" s="722"/>
      <c r="C58" s="723" t="s">
        <v>371</v>
      </c>
      <c r="D58" s="683">
        <f>'5 kiadások'!M56</f>
        <v>2472224</v>
      </c>
    </row>
    <row r="59" spans="1:8" ht="15" customHeight="1" x14ac:dyDescent="0.2">
      <c r="A59" s="851"/>
      <c r="B59" s="720"/>
      <c r="C59" s="724" t="s">
        <v>370</v>
      </c>
      <c r="D59" s="682">
        <f>'5 kiadások'!M57</f>
        <v>0</v>
      </c>
      <c r="F59" s="219"/>
    </row>
    <row r="60" spans="1:8" ht="15" customHeight="1" x14ac:dyDescent="0.2">
      <c r="A60" s="851"/>
      <c r="B60" s="720"/>
      <c r="C60" s="724" t="s">
        <v>381</v>
      </c>
      <c r="D60" s="682">
        <f>'5 kiadások'!M87</f>
        <v>0</v>
      </c>
      <c r="F60" s="219"/>
    </row>
    <row r="61" spans="1:8" s="28" customFormat="1" ht="21" customHeight="1" x14ac:dyDescent="0.2">
      <c r="A61" s="851"/>
      <c r="B61" s="716" t="s">
        <v>16</v>
      </c>
      <c r="C61" s="696" t="s">
        <v>83</v>
      </c>
      <c r="D61" s="850">
        <f>D62</f>
        <v>37226500</v>
      </c>
      <c r="F61" s="222"/>
      <c r="G61" s="222"/>
      <c r="H61" s="222"/>
    </row>
    <row r="62" spans="1:8" s="28" customFormat="1" ht="21" customHeight="1" x14ac:dyDescent="0.2">
      <c r="A62" s="851"/>
      <c r="B62" s="716"/>
      <c r="C62" s="692" t="s">
        <v>285</v>
      </c>
      <c r="D62" s="682">
        <v>37226500</v>
      </c>
      <c r="F62" s="383"/>
    </row>
    <row r="63" spans="1:8" s="240" customFormat="1" ht="21" customHeight="1" x14ac:dyDescent="0.2">
      <c r="A63" s="851"/>
      <c r="B63" s="720"/>
      <c r="C63" s="851"/>
      <c r="D63" s="889"/>
      <c r="F63" s="241"/>
      <c r="G63" s="241"/>
      <c r="H63" s="241"/>
    </row>
    <row r="64" spans="1:8" s="240" customFormat="1" ht="21" customHeight="1" x14ac:dyDescent="0.2">
      <c r="A64" s="851"/>
      <c r="B64" s="720"/>
      <c r="C64" s="851"/>
      <c r="D64" s="889"/>
      <c r="F64" s="241"/>
      <c r="G64" s="241"/>
      <c r="H64" s="241"/>
    </row>
    <row r="65" spans="1:7" ht="14.25" customHeight="1" x14ac:dyDescent="0.2">
      <c r="A65" s="1090" t="s">
        <v>300</v>
      </c>
      <c r="B65" s="1091"/>
      <c r="C65" s="1091"/>
      <c r="D65" s="850" t="s">
        <v>299</v>
      </c>
      <c r="F65" s="219"/>
    </row>
    <row r="66" spans="1:7" ht="13.5" customHeight="1" x14ac:dyDescent="0.2">
      <c r="A66" s="852"/>
      <c r="B66" s="720"/>
      <c r="C66" s="725"/>
      <c r="D66" s="682"/>
    </row>
    <row r="67" spans="1:7" ht="14.25" customHeight="1" x14ac:dyDescent="0.2">
      <c r="A67" s="851" t="s">
        <v>38</v>
      </c>
      <c r="B67" s="720"/>
      <c r="C67" s="697" t="s">
        <v>192</v>
      </c>
      <c r="D67" s="850">
        <f>D69+D70</f>
        <v>0</v>
      </c>
    </row>
    <row r="68" spans="1:7" ht="17.25" customHeight="1" x14ac:dyDescent="0.2">
      <c r="A68" s="851"/>
      <c r="B68" s="720"/>
      <c r="C68" s="697"/>
      <c r="D68" s="682"/>
    </row>
    <row r="69" spans="1:7" s="28" customFormat="1" ht="25.5" customHeight="1" x14ac:dyDescent="0.2">
      <c r="A69" s="851"/>
      <c r="B69" s="716" t="s">
        <v>15</v>
      </c>
      <c r="C69" s="696" t="s">
        <v>84</v>
      </c>
      <c r="D69" s="850"/>
    </row>
    <row r="70" spans="1:7" ht="18.75" customHeight="1" x14ac:dyDescent="0.2">
      <c r="A70" s="852"/>
      <c r="B70" s="726" t="s">
        <v>16</v>
      </c>
      <c r="C70" s="694" t="s">
        <v>100</v>
      </c>
      <c r="D70" s="850">
        <f>+D72</f>
        <v>0</v>
      </c>
    </row>
    <row r="71" spans="1:7" ht="12.75" customHeight="1" x14ac:dyDescent="0.2">
      <c r="A71" s="852"/>
      <c r="B71" s="726">
        <v>1</v>
      </c>
      <c r="C71" s="709"/>
      <c r="D71" s="710"/>
    </row>
    <row r="72" spans="1:7" ht="17.25" customHeight="1" x14ac:dyDescent="0.2">
      <c r="A72" s="852"/>
      <c r="B72" s="727"/>
      <c r="C72" s="711"/>
      <c r="D72" s="682"/>
    </row>
    <row r="73" spans="1:7" ht="14.25" customHeight="1" x14ac:dyDescent="0.2">
      <c r="A73" s="1092" t="s">
        <v>58</v>
      </c>
      <c r="B73" s="1093"/>
      <c r="C73" s="1093"/>
      <c r="D73" s="850">
        <f>D67</f>
        <v>0</v>
      </c>
    </row>
    <row r="74" spans="1:7" ht="14.25" customHeight="1" x14ac:dyDescent="0.2">
      <c r="A74" s="1099"/>
      <c r="B74" s="1100"/>
      <c r="C74" s="1097" t="s">
        <v>383</v>
      </c>
      <c r="D74" s="1084">
        <f>D6+D53</f>
        <v>361934260.5</v>
      </c>
    </row>
    <row r="75" spans="1:7" ht="22.5" customHeight="1" thickBot="1" x14ac:dyDescent="0.25">
      <c r="A75" s="1101"/>
      <c r="B75" s="1102"/>
      <c r="C75" s="1098"/>
      <c r="D75" s="1085"/>
      <c r="E75" s="218"/>
      <c r="F75" s="218"/>
      <c r="G75" s="218"/>
    </row>
    <row r="76" spans="1:7" ht="12" customHeight="1" x14ac:dyDescent="0.2">
      <c r="E76" s="218"/>
    </row>
    <row r="77" spans="1:7" ht="12" customHeight="1" x14ac:dyDescent="0.2">
      <c r="E77" s="218"/>
    </row>
    <row r="78" spans="1:7" ht="12" customHeight="1" x14ac:dyDescent="0.2">
      <c r="C78" s="713"/>
      <c r="F78" s="219">
        <f>D74-D31-D33-D35-'5 kiadások'!M91</f>
        <v>0</v>
      </c>
    </row>
  </sheetData>
  <mergeCells count="8">
    <mergeCell ref="D74:D75"/>
    <mergeCell ref="C1:D1"/>
    <mergeCell ref="A5:C5"/>
    <mergeCell ref="A65:C65"/>
    <mergeCell ref="A73:C73"/>
    <mergeCell ref="A52:D52"/>
    <mergeCell ref="C74:C75"/>
    <mergeCell ref="A74:B75"/>
  </mergeCells>
  <phoneticPr fontId="41" type="noConversion"/>
  <printOptions horizontalCentered="1" verticalCentered="1"/>
  <pageMargins left="0.78740157480314965" right="0.78740157480314965" top="0.59055118110236227" bottom="0.39370078740157483" header="0.51181102362204722" footer="0"/>
  <pageSetup paperSize="9" scale="71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6" sqref="A6:XFD6"/>
    </sheetView>
  </sheetViews>
  <sheetFormatPr defaultRowHeight="12.75" x14ac:dyDescent="0.2"/>
  <cols>
    <col min="2" max="2" width="23.42578125" customWidth="1"/>
    <col min="3" max="3" width="18" customWidth="1"/>
    <col min="4" max="4" width="33.5703125" customWidth="1"/>
  </cols>
  <sheetData>
    <row r="1" spans="1:4" x14ac:dyDescent="0.2">
      <c r="A1" s="436"/>
      <c r="B1" s="437"/>
      <c r="C1" s="438"/>
      <c r="D1" s="439"/>
    </row>
    <row r="2" spans="1:4" x14ac:dyDescent="0.2">
      <c r="A2" s="436"/>
      <c r="B2" s="437"/>
      <c r="C2" s="438"/>
      <c r="D2" s="439"/>
    </row>
    <row r="3" spans="1:4" x14ac:dyDescent="0.2">
      <c r="A3" s="436"/>
      <c r="B3" s="437"/>
      <c r="C3" s="438"/>
      <c r="D3" s="439"/>
    </row>
    <row r="4" spans="1:4" ht="22.5" customHeight="1" x14ac:dyDescent="0.2">
      <c r="A4" s="436"/>
      <c r="B4" s="437"/>
      <c r="C4" s="438"/>
      <c r="D4" s="439"/>
    </row>
    <row r="5" spans="1:4" ht="13.5" thickBot="1" x14ac:dyDescent="0.25">
      <c r="A5" s="742"/>
      <c r="B5" s="743"/>
      <c r="C5" s="363"/>
      <c r="D5" s="744" t="s">
        <v>328</v>
      </c>
    </row>
    <row r="6" spans="1:4" x14ac:dyDescent="0.2">
      <c r="A6" s="745" t="s">
        <v>329</v>
      </c>
      <c r="B6" s="570" t="s">
        <v>330</v>
      </c>
      <c r="C6" s="746" t="s">
        <v>385</v>
      </c>
      <c r="D6" s="747" t="s">
        <v>331</v>
      </c>
    </row>
    <row r="7" spans="1:4" x14ac:dyDescent="0.2">
      <c r="A7" s="212" t="s">
        <v>15</v>
      </c>
      <c r="B7" s="748" t="s">
        <v>283</v>
      </c>
      <c r="C7" s="749">
        <v>3976664</v>
      </c>
      <c r="D7" s="750" t="s">
        <v>332</v>
      </c>
    </row>
    <row r="8" spans="1:4" ht="13.5" thickBot="1" x14ac:dyDescent="0.25">
      <c r="A8" s="740" t="s">
        <v>16</v>
      </c>
      <c r="B8" s="751" t="s">
        <v>319</v>
      </c>
      <c r="C8" s="741">
        <v>12335000</v>
      </c>
      <c r="D8" s="752" t="s">
        <v>332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view="pageBreakPreview" zoomScale="80" zoomScaleNormal="100" zoomScaleSheetLayoutView="80" workbookViewId="0">
      <selection activeCell="A13" sqref="A13:I13"/>
    </sheetView>
  </sheetViews>
  <sheetFormatPr defaultRowHeight="12.75" x14ac:dyDescent="0.2"/>
  <cols>
    <col min="2" max="2" width="21.140625" customWidth="1"/>
    <col min="3" max="3" width="25.28515625" customWidth="1"/>
    <col min="4" max="4" width="15.5703125" bestFit="1" customWidth="1"/>
    <col min="5" max="5" width="15.42578125" customWidth="1"/>
    <col min="6" max="6" width="13.85546875" customWidth="1"/>
    <col min="8" max="8" width="18.7109375" customWidth="1"/>
    <col min="9" max="9" width="13.28515625" customWidth="1"/>
  </cols>
  <sheetData>
    <row r="2" spans="1:9" ht="15" x14ac:dyDescent="0.25">
      <c r="A2" s="440"/>
      <c r="B2" s="441"/>
      <c r="C2" s="440"/>
      <c r="D2" s="442"/>
      <c r="E2" s="442"/>
      <c r="F2" s="1103"/>
      <c r="G2" s="1103"/>
      <c r="H2" s="1103"/>
      <c r="I2" s="1103"/>
    </row>
    <row r="3" spans="1:9" ht="15" x14ac:dyDescent="0.25">
      <c r="A3" s="440"/>
      <c r="B3" s="441"/>
      <c r="C3" s="440"/>
      <c r="D3" s="442"/>
      <c r="E3" s="442"/>
      <c r="F3" s="443"/>
      <c r="G3" s="443"/>
      <c r="H3" s="443"/>
      <c r="I3" s="443"/>
    </row>
    <row r="4" spans="1:9" ht="15" x14ac:dyDescent="0.25">
      <c r="A4" s="440"/>
      <c r="B4" s="441"/>
      <c r="C4" s="440"/>
      <c r="D4" s="442"/>
      <c r="E4" s="442"/>
      <c r="F4" s="443"/>
      <c r="G4" s="443"/>
      <c r="H4" s="443"/>
      <c r="I4" s="443"/>
    </row>
    <row r="5" spans="1:9" ht="15" x14ac:dyDescent="0.25">
      <c r="A5" s="440"/>
      <c r="B5" s="441"/>
      <c r="C5" s="440"/>
      <c r="D5" s="442"/>
      <c r="E5" s="442"/>
      <c r="F5" s="443"/>
      <c r="G5" s="443"/>
      <c r="H5" s="443"/>
      <c r="I5" s="443"/>
    </row>
    <row r="6" spans="1:9" ht="27" customHeight="1" x14ac:dyDescent="0.25">
      <c r="A6" s="1104" t="s">
        <v>333</v>
      </c>
      <c r="B6" s="1105"/>
      <c r="C6" s="1105"/>
      <c r="D6" s="1105"/>
      <c r="E6" s="440"/>
      <c r="F6" s="440"/>
      <c r="G6" s="440"/>
      <c r="H6" s="440"/>
      <c r="I6" s="444" t="s">
        <v>328</v>
      </c>
    </row>
    <row r="7" spans="1:9" x14ac:dyDescent="0.2">
      <c r="A7" s="1106" t="s">
        <v>329</v>
      </c>
      <c r="B7" s="1108" t="s">
        <v>334</v>
      </c>
      <c r="C7" s="1109"/>
      <c r="D7" s="1112"/>
      <c r="E7" s="1112"/>
      <c r="F7" s="1112"/>
      <c r="G7" s="1112"/>
      <c r="H7" s="1113"/>
      <c r="I7" s="1106" t="s">
        <v>335</v>
      </c>
    </row>
    <row r="8" spans="1:9" ht="42" x14ac:dyDescent="0.2">
      <c r="A8" s="1107"/>
      <c r="B8" s="1110"/>
      <c r="C8" s="1111"/>
      <c r="D8" s="753" t="s">
        <v>336</v>
      </c>
      <c r="E8" s="582" t="s">
        <v>337</v>
      </c>
      <c r="F8" s="582" t="s">
        <v>251</v>
      </c>
      <c r="G8" s="582" t="s">
        <v>338</v>
      </c>
      <c r="H8" s="582" t="s">
        <v>339</v>
      </c>
      <c r="I8" s="1107"/>
    </row>
    <row r="9" spans="1:9" ht="25.5" x14ac:dyDescent="0.2">
      <c r="A9" s="445">
        <v>1</v>
      </c>
      <c r="B9" s="756" t="s">
        <v>295</v>
      </c>
      <c r="C9" s="757" t="s">
        <v>340</v>
      </c>
      <c r="D9" s="758"/>
      <c r="E9" s="758"/>
      <c r="F9" s="758"/>
      <c r="G9" s="758"/>
      <c r="H9" s="758">
        <v>0</v>
      </c>
      <c r="I9" s="759">
        <f t="shared" ref="I9:I15" si="0">SUM(D9:H9)</f>
        <v>0</v>
      </c>
    </row>
    <row r="10" spans="1:9" ht="25.5" x14ac:dyDescent="0.2">
      <c r="A10" s="445">
        <f>A9+1</f>
        <v>2</v>
      </c>
      <c r="B10" s="581" t="s">
        <v>266</v>
      </c>
      <c r="C10" s="760" t="s">
        <v>341</v>
      </c>
      <c r="D10" s="758"/>
      <c r="E10" s="758"/>
      <c r="F10" s="758"/>
      <c r="G10" s="758"/>
      <c r="H10" s="446">
        <v>142751570</v>
      </c>
      <c r="I10" s="759">
        <f t="shared" si="0"/>
        <v>142751570</v>
      </c>
    </row>
    <row r="11" spans="1:9" ht="25.5" x14ac:dyDescent="0.2">
      <c r="A11" s="445">
        <f t="shared" ref="A11:A15" si="1">A10+1</f>
        <v>3</v>
      </c>
      <c r="B11" s="581" t="s">
        <v>267</v>
      </c>
      <c r="C11" s="760" t="s">
        <v>342</v>
      </c>
      <c r="D11" s="758"/>
      <c r="E11" s="758"/>
      <c r="F11" s="758"/>
      <c r="G11" s="758"/>
      <c r="H11" s="758">
        <v>53700000</v>
      </c>
      <c r="I11" s="759">
        <f t="shared" si="0"/>
        <v>53700000</v>
      </c>
    </row>
    <row r="12" spans="1:9" ht="70.5" customHeight="1" x14ac:dyDescent="0.2">
      <c r="A12" s="445">
        <f t="shared" si="1"/>
        <v>4</v>
      </c>
      <c r="B12" s="581" t="s">
        <v>319</v>
      </c>
      <c r="C12" s="754" t="s">
        <v>387</v>
      </c>
      <c r="D12" s="758"/>
      <c r="E12" s="758"/>
      <c r="F12" s="758"/>
      <c r="G12" s="758"/>
      <c r="H12" s="758">
        <f>'3 bevételek'!$H$204</f>
        <v>27203979</v>
      </c>
      <c r="I12" s="759">
        <f>H12</f>
        <v>27203979</v>
      </c>
    </row>
    <row r="13" spans="1:9" ht="25.5" x14ac:dyDescent="0.2">
      <c r="A13" s="445">
        <f t="shared" si="1"/>
        <v>5</v>
      </c>
      <c r="B13" s="581" t="s">
        <v>343</v>
      </c>
      <c r="C13" s="760" t="s">
        <v>344</v>
      </c>
      <c r="D13" s="758">
        <f>'5 kiadások'!Q69-'8 EU-s projektek'!H13+1257300</f>
        <v>13761684.5</v>
      </c>
      <c r="E13" s="758"/>
      <c r="F13" s="758"/>
      <c r="G13" s="758"/>
      <c r="H13" s="758">
        <f>'3 bevételek'!$H$205</f>
        <v>75070234</v>
      </c>
      <c r="I13" s="759">
        <f t="shared" si="0"/>
        <v>88831918.5</v>
      </c>
    </row>
    <row r="14" spans="1:9" ht="25.5" x14ac:dyDescent="0.2">
      <c r="A14" s="445">
        <f t="shared" si="1"/>
        <v>6</v>
      </c>
      <c r="B14" s="579" t="s">
        <v>389</v>
      </c>
      <c r="C14" s="761" t="s">
        <v>388</v>
      </c>
      <c r="D14" s="755">
        <v>8769066</v>
      </c>
      <c r="E14" s="755"/>
      <c r="F14" s="755"/>
      <c r="G14" s="755"/>
      <c r="H14" s="755">
        <v>49691374</v>
      </c>
      <c r="I14" s="759">
        <f t="shared" si="0"/>
        <v>58460440</v>
      </c>
    </row>
    <row r="15" spans="1:9" ht="27" customHeight="1" x14ac:dyDescent="0.2">
      <c r="A15" s="445">
        <f t="shared" si="1"/>
        <v>7</v>
      </c>
      <c r="B15" s="78" t="s">
        <v>303</v>
      </c>
      <c r="C15" s="754" t="s">
        <v>390</v>
      </c>
      <c r="D15" s="78">
        <v>750000</v>
      </c>
      <c r="E15" s="78"/>
      <c r="F15" s="78"/>
      <c r="G15" s="78"/>
      <c r="H15" s="762">
        <v>4996958</v>
      </c>
      <c r="I15" s="763">
        <f t="shared" si="0"/>
        <v>5746958</v>
      </c>
    </row>
  </sheetData>
  <mergeCells count="6">
    <mergeCell ref="F2:I2"/>
    <mergeCell ref="A6:D6"/>
    <mergeCell ref="A7:A8"/>
    <mergeCell ref="B7:C8"/>
    <mergeCell ref="D7:H7"/>
    <mergeCell ref="I7:I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A7" sqref="A7:H9"/>
    </sheetView>
  </sheetViews>
  <sheetFormatPr defaultRowHeight="12.75" x14ac:dyDescent="0.2"/>
  <cols>
    <col min="4" max="4" width="9.5703125" bestFit="1" customWidth="1"/>
    <col min="8" max="8" width="11.140625" customWidth="1"/>
  </cols>
  <sheetData>
    <row r="1" spans="1:8" x14ac:dyDescent="0.2">
      <c r="A1" s="447"/>
      <c r="B1" s="23"/>
      <c r="C1" s="23"/>
      <c r="D1" s="448"/>
      <c r="E1" s="448"/>
      <c r="F1" s="448"/>
      <c r="G1" s="448"/>
      <c r="H1" s="449"/>
    </row>
    <row r="2" spans="1:8" x14ac:dyDescent="0.2">
      <c r="A2" s="447"/>
      <c r="B2" s="23"/>
      <c r="C2" s="23"/>
      <c r="D2" s="448"/>
      <c r="E2" s="448"/>
      <c r="F2" s="448"/>
      <c r="G2" s="448"/>
      <c r="H2" s="449"/>
    </row>
    <row r="3" spans="1:8" x14ac:dyDescent="0.2">
      <c r="A3" s="447"/>
      <c r="B3" s="23"/>
      <c r="C3" s="23"/>
      <c r="D3" s="448"/>
      <c r="E3" s="448"/>
      <c r="F3" s="448"/>
      <c r="G3" s="448"/>
      <c r="H3" s="449"/>
    </row>
    <row r="4" spans="1:8" ht="13.5" thickBot="1" x14ac:dyDescent="0.25">
      <c r="A4" s="447"/>
      <c r="B4" s="23"/>
      <c r="C4" s="23"/>
      <c r="D4" s="448"/>
      <c r="E4" s="448"/>
      <c r="F4" s="448"/>
      <c r="G4" s="448"/>
      <c r="H4" s="449" t="s">
        <v>345</v>
      </c>
    </row>
    <row r="5" spans="1:8" x14ac:dyDescent="0.2">
      <c r="A5" s="1114" t="s">
        <v>346</v>
      </c>
      <c r="B5" s="1115"/>
      <c r="C5" s="450"/>
      <c r="D5" s="1118" t="s">
        <v>347</v>
      </c>
      <c r="E5" s="1119"/>
      <c r="F5" s="1119"/>
      <c r="G5" s="1120"/>
      <c r="H5" s="1121" t="s">
        <v>14</v>
      </c>
    </row>
    <row r="6" spans="1:8" ht="38.25" x14ac:dyDescent="0.2">
      <c r="A6" s="1116"/>
      <c r="B6" s="1117"/>
      <c r="C6" s="451" t="s">
        <v>376</v>
      </c>
      <c r="D6" s="452" t="s">
        <v>348</v>
      </c>
      <c r="E6" s="452" t="s">
        <v>349</v>
      </c>
      <c r="F6" s="452" t="s">
        <v>350</v>
      </c>
      <c r="G6" s="453" t="s">
        <v>351</v>
      </c>
      <c r="H6" s="1122"/>
    </row>
    <row r="7" spans="1:8" ht="48" x14ac:dyDescent="0.2">
      <c r="A7" s="454" t="s">
        <v>15</v>
      </c>
      <c r="B7" s="921" t="s">
        <v>352</v>
      </c>
      <c r="C7" s="922">
        <v>750000</v>
      </c>
      <c r="D7" s="922">
        <v>750000</v>
      </c>
      <c r="E7" s="922">
        <v>750000</v>
      </c>
      <c r="F7" s="922">
        <v>750000</v>
      </c>
      <c r="G7" s="922">
        <v>750000</v>
      </c>
      <c r="H7" s="455">
        <f>SUM(C7:G7)</f>
        <v>3750000</v>
      </c>
    </row>
    <row r="8" spans="1:8" ht="24" x14ac:dyDescent="0.2">
      <c r="A8" s="923" t="s">
        <v>16</v>
      </c>
      <c r="B8" s="924" t="s">
        <v>393</v>
      </c>
      <c r="C8" s="922">
        <f>974763</f>
        <v>974763</v>
      </c>
      <c r="D8" s="922">
        <f>'5 kiadások'!K66/4</f>
        <v>3083750</v>
      </c>
      <c r="E8" s="922">
        <f>'5 kiadások'!K66/4</f>
        <v>3083750</v>
      </c>
      <c r="F8" s="922">
        <v>3083750</v>
      </c>
      <c r="G8" s="922">
        <v>3083750</v>
      </c>
      <c r="H8" s="455">
        <f>SUM(C8:G8)</f>
        <v>13309763</v>
      </c>
    </row>
    <row r="9" spans="1:8" ht="13.5" thickBot="1" x14ac:dyDescent="0.25">
      <c r="A9" s="1123" t="s">
        <v>353</v>
      </c>
      <c r="B9" s="1124"/>
      <c r="C9" s="925">
        <f t="shared" ref="C9:H9" si="0">SUM(C7:C8)</f>
        <v>1724763</v>
      </c>
      <c r="D9" s="925">
        <f t="shared" si="0"/>
        <v>3833750</v>
      </c>
      <c r="E9" s="925">
        <f t="shared" si="0"/>
        <v>3833750</v>
      </c>
      <c r="F9" s="925">
        <f t="shared" si="0"/>
        <v>3833750</v>
      </c>
      <c r="G9" s="925">
        <f t="shared" si="0"/>
        <v>3833750</v>
      </c>
      <c r="H9" s="926">
        <f t="shared" si="0"/>
        <v>17059763</v>
      </c>
    </row>
    <row r="10" spans="1:8" x14ac:dyDescent="0.2">
      <c r="A10" s="822"/>
      <c r="B10" s="822"/>
      <c r="C10" s="823"/>
      <c r="D10" s="462"/>
      <c r="E10" s="462"/>
      <c r="F10" s="462"/>
      <c r="G10" s="462"/>
      <c r="H10" s="462"/>
    </row>
    <row r="11" spans="1:8" x14ac:dyDescent="0.2">
      <c r="A11" s="457" t="s">
        <v>354</v>
      </c>
      <c r="B11" s="23"/>
      <c r="C11" s="23"/>
      <c r="D11" s="448"/>
      <c r="E11" s="448"/>
      <c r="F11" s="448"/>
      <c r="G11" s="448"/>
      <c r="H11" s="449"/>
    </row>
    <row r="12" spans="1:8" x14ac:dyDescent="0.2">
      <c r="A12" s="458" t="s">
        <v>355</v>
      </c>
      <c r="B12" s="1125" t="s">
        <v>356</v>
      </c>
      <c r="C12" s="1125"/>
      <c r="D12" s="1125"/>
      <c r="E12" s="1125"/>
      <c r="F12" s="1125"/>
      <c r="G12" s="1125"/>
      <c r="H12" s="1125"/>
    </row>
    <row r="13" spans="1:8" ht="13.5" thickBot="1" x14ac:dyDescent="0.25">
      <c r="A13" s="459" t="s">
        <v>16</v>
      </c>
      <c r="B13" s="824" t="s">
        <v>394</v>
      </c>
      <c r="C13" s="460"/>
      <c r="D13" s="461"/>
      <c r="E13" s="461"/>
      <c r="F13" s="461"/>
      <c r="G13" s="461"/>
      <c r="H13" s="462"/>
    </row>
    <row r="14" spans="1:8" x14ac:dyDescent="0.2">
      <c r="A14" s="1114" t="s">
        <v>357</v>
      </c>
      <c r="B14" s="1115"/>
      <c r="C14" s="450"/>
      <c r="D14" s="1118" t="s">
        <v>358</v>
      </c>
      <c r="E14" s="1119"/>
      <c r="F14" s="1119"/>
      <c r="G14" s="1120"/>
      <c r="H14" s="1121" t="s">
        <v>14</v>
      </c>
    </row>
    <row r="15" spans="1:8" ht="38.25" x14ac:dyDescent="0.2">
      <c r="A15" s="1116"/>
      <c r="B15" s="1117"/>
      <c r="C15" s="451">
        <v>2019</v>
      </c>
      <c r="D15" s="452" t="s">
        <v>348</v>
      </c>
      <c r="E15" s="452" t="s">
        <v>349</v>
      </c>
      <c r="F15" s="452" t="s">
        <v>350</v>
      </c>
      <c r="G15" s="453" t="s">
        <v>359</v>
      </c>
      <c r="H15" s="1122"/>
    </row>
    <row r="16" spans="1:8" x14ac:dyDescent="0.2">
      <c r="A16" s="454" t="s">
        <v>15</v>
      </c>
      <c r="B16" s="463"/>
      <c r="C16" s="464">
        <v>4005965</v>
      </c>
      <c r="D16" s="464">
        <v>4005965</v>
      </c>
      <c r="E16" s="464">
        <v>4005965</v>
      </c>
      <c r="F16" s="464">
        <v>4005965</v>
      </c>
      <c r="G16" s="464">
        <v>4005965</v>
      </c>
      <c r="H16" s="455">
        <f>SUM(C16:G16)</f>
        <v>20029825</v>
      </c>
    </row>
    <row r="17" spans="1:8" ht="13.5" thickBot="1" x14ac:dyDescent="0.25">
      <c r="A17" s="1123" t="s">
        <v>353</v>
      </c>
      <c r="B17" s="1124"/>
      <c r="C17" s="465">
        <f t="shared" ref="C17:H17" si="1">SUM(C16:C16)</f>
        <v>4005965</v>
      </c>
      <c r="D17" s="456">
        <f t="shared" si="1"/>
        <v>4005965</v>
      </c>
      <c r="E17" s="456">
        <f t="shared" si="1"/>
        <v>4005965</v>
      </c>
      <c r="F17" s="456">
        <f t="shared" si="1"/>
        <v>4005965</v>
      </c>
      <c r="G17" s="456">
        <f t="shared" si="1"/>
        <v>4005965</v>
      </c>
      <c r="H17" s="466">
        <f t="shared" si="1"/>
        <v>20029825</v>
      </c>
    </row>
    <row r="18" spans="1:8" ht="13.5" thickBot="1" x14ac:dyDescent="0.25">
      <c r="A18" s="447"/>
      <c r="B18" s="23"/>
      <c r="C18" s="23"/>
      <c r="D18" s="448"/>
      <c r="E18" s="448"/>
      <c r="F18" s="448"/>
      <c r="G18" s="448"/>
      <c r="H18" s="467"/>
    </row>
    <row r="19" spans="1:8" x14ac:dyDescent="0.2">
      <c r="A19" s="1126" t="s">
        <v>360</v>
      </c>
      <c r="B19" s="1127"/>
      <c r="C19" s="450"/>
      <c r="D19" s="1130" t="s">
        <v>347</v>
      </c>
      <c r="E19" s="1130"/>
      <c r="F19" s="1130"/>
      <c r="G19" s="1130"/>
      <c r="H19" s="1131" t="s">
        <v>14</v>
      </c>
    </row>
    <row r="20" spans="1:8" ht="96" x14ac:dyDescent="0.2">
      <c r="A20" s="1128"/>
      <c r="B20" s="1129"/>
      <c r="C20" s="468" t="s">
        <v>376</v>
      </c>
      <c r="D20" s="469" t="s">
        <v>348</v>
      </c>
      <c r="E20" s="469" t="s">
        <v>349</v>
      </c>
      <c r="F20" s="469" t="s">
        <v>350</v>
      </c>
      <c r="G20" s="470" t="s">
        <v>361</v>
      </c>
      <c r="H20" s="1132"/>
    </row>
    <row r="21" spans="1:8" ht="168" x14ac:dyDescent="0.2">
      <c r="A21" s="471" t="s">
        <v>362</v>
      </c>
      <c r="B21" s="472" t="s">
        <v>363</v>
      </c>
      <c r="C21" s="473"/>
      <c r="D21" s="473"/>
      <c r="E21" s="473"/>
      <c r="F21" s="473"/>
      <c r="G21" s="474"/>
      <c r="H21" s="475">
        <f>SUM(C21:G21)</f>
        <v>0</v>
      </c>
    </row>
    <row r="22" spans="1:8" ht="60" x14ac:dyDescent="0.2">
      <c r="A22" s="476">
        <v>2</v>
      </c>
      <c r="B22" s="477" t="s">
        <v>364</v>
      </c>
      <c r="C22" s="473"/>
      <c r="D22" s="473"/>
      <c r="E22" s="473"/>
      <c r="F22" s="473"/>
      <c r="G22" s="478"/>
      <c r="H22" s="475">
        <f>SUM(C22:G22)</f>
        <v>0</v>
      </c>
    </row>
    <row r="23" spans="1:8" x14ac:dyDescent="0.2">
      <c r="A23" s="1133" t="s">
        <v>353</v>
      </c>
      <c r="B23" s="1134"/>
      <c r="C23" s="479">
        <f>SUM(C21:C22)</f>
        <v>0</v>
      </c>
      <c r="D23" s="479">
        <f>SUM(D21:D22)</f>
        <v>0</v>
      </c>
      <c r="E23" s="479">
        <f>SUM(E21:E22)</f>
        <v>0</v>
      </c>
      <c r="F23" s="479">
        <f>SUM(F21:F22)</f>
        <v>0</v>
      </c>
      <c r="G23" s="479">
        <f>SUM(G21:G21)</f>
        <v>0</v>
      </c>
      <c r="H23" s="475">
        <f>SUM(C23:G23)</f>
        <v>0</v>
      </c>
    </row>
    <row r="24" spans="1:8" ht="24.75" thickBot="1" x14ac:dyDescent="0.25">
      <c r="A24" s="480" t="s">
        <v>15</v>
      </c>
      <c r="B24" s="481" t="s">
        <v>365</v>
      </c>
      <c r="C24" s="482">
        <f>'3 bevételek'!H21+'3 bevételek'!H206+'3 bevételek'!H218</f>
        <v>75039792</v>
      </c>
      <c r="D24" s="482">
        <f>[1]Munka1!$F$16</f>
        <v>50131000</v>
      </c>
      <c r="E24" s="482">
        <f>[1]Munka1!$G$16</f>
        <v>52813620</v>
      </c>
      <c r="F24" s="482">
        <f>[1]Munka1!$H$16</f>
        <v>58027892.400000006</v>
      </c>
      <c r="G24" s="482">
        <f>F24*1.02</f>
        <v>59188450.248000003</v>
      </c>
      <c r="H24" s="483">
        <f>SUM(C24:G24)</f>
        <v>295200754.648</v>
      </c>
    </row>
  </sheetData>
  <mergeCells count="13">
    <mergeCell ref="A17:B17"/>
    <mergeCell ref="A19:B20"/>
    <mergeCell ref="D19:G19"/>
    <mergeCell ref="H19:H20"/>
    <mergeCell ref="A23:B23"/>
    <mergeCell ref="A14:B15"/>
    <mergeCell ref="D14:G14"/>
    <mergeCell ref="H14:H15"/>
    <mergeCell ref="A5:B6"/>
    <mergeCell ref="D5:G5"/>
    <mergeCell ref="H5:H6"/>
    <mergeCell ref="A9:B9"/>
    <mergeCell ref="B12:H1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z C J L T r T I W j W n A A A A + Q A A A B I A H A B D b 2 5 m a W c v U G F j a 2 F n Z S 5 4 b W w g o h g A K K A U A A A A A A A A A A A A A A A A A A A A A A A A A A A A h Y + 9 D o I w G E V f h X S n P 4 j G k I 8 y u D h I Y m I 0 r k 2 p 0 A j F 0 G J 5 N w c f y V e Q R D F s j v f k D O e + H k / I h q Y O 7 q q z u j U p Y p i i Q B n Z F t q U K e r d J V y j j M N e y K s o V T D K x i a D L V J U O X d L C P H e Y 7 / A b V e S i F J G z v n u I C v V C P S T 9 X 8 5 1 M Y 6 Y a R C H E 6 f G B 7 h K M Y x X S 0 x i y k D M n H I t Z k 5 Y z K m Q G Y Q N n 3 t + k 7 x q g + 3 R y D T B P K 9 w d 9 Q S w M E F A A C A A g A z C J L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w i S 0 4 o i k e 4 D g A A A B E A A A A T A B w A R m 9 y b X V s Y X M v U 2 V j d G l v b j E u b S C i G A A o o B Q A A A A A A A A A A A A A A A A A A A A A A A A A A A A r T k 0 u y c z P U w i G 0 I b W A F B L A Q I t A B Q A A g A I A M w i S 0 6 0 y F o 1 p w A A A P k A A A A S A A A A A A A A A A A A A A A A A A A A A A B D b 2 5 m a W c v U G F j a 2 F n Z S 5 4 b W x Q S w E C L Q A U A A I A C A D M I k t O D 8 r p q 6 Q A A A D p A A A A E w A A A A A A A A A A A A A A A A D z A A A A W 0 N v b n R l b n R f V H l w Z X N d L n h t b F B L A Q I t A B Q A A g A I A M w i S 0 4 o i k e 4 D g A A A B E A A A A T A A A A A A A A A A A A A A A A A O Q B A A B G b 3 J t d W x h c y 9 T Z W N 0 a W 9 u M S 5 t U E s F B g A A A A A D A A M A w g A A A D 8 C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l k B A A A A A A A A N w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S h v t o 5 3 k G 0 y c k d v + C 4 1 5 4 g A A A A A C A A A A A A A Q Z g A A A A E A A C A A A A B y H b z w U 8 C 2 u E o l F F X + Z p 0 Z d D H Q R w F k 4 7 1 t z 4 C E P l V 2 Y Q A A A A A O g A A A A A I A A C A A A A C 8 s N S x a y v E c H r Y G B b n y O e + / J f 9 Z j G X 4 T b T A u v U 1 8 u l 8 V A A A A C c T C c M 5 w Y X / C b k e A 6 z L f R T 8 m g P / 3 w E T w 1 S B A 0 l 3 p 8 K O r z z 5 g w G Q x O P 6 r s n N e q 4 M X + c 7 + f o r F g 8 Q W F t + 2 I 9 B 7 D 4 o T w 3 V 9 k T b X R C U U w m b m e c W k A A A A C D V Q L n m s y c + 8 3 0 w 6 0 H v f w K b C u w 5 / z 7 S t L g X c I N m u n l Z X d d U L x p 6 f 3 p t L N F m M A h g N N p S W F c 5 J 8 c p P e h h 5 G c l p F H < / D a t a M a s h u p > 
</file>

<file path=customXml/itemProps1.xml><?xml version="1.0" encoding="utf-8"?>
<ds:datastoreItem xmlns:ds="http://schemas.openxmlformats.org/officeDocument/2006/customXml" ds:itemID="{241DA0C3-8A01-4AA4-AE7E-017A849A76E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11</vt:i4>
      </vt:variant>
    </vt:vector>
  </HeadingPairs>
  <TitlesOfParts>
    <vt:vector size="20" baseType="lpstr">
      <vt:lpstr>1 ei felhaszn</vt:lpstr>
      <vt:lpstr>2 mérleg</vt:lpstr>
      <vt:lpstr>3 bevételek</vt:lpstr>
      <vt:lpstr>4 int-i bevételek </vt:lpstr>
      <vt:lpstr>5 kiadások</vt:lpstr>
      <vt:lpstr>6 beruházások</vt:lpstr>
      <vt:lpstr>7 Céltartalék</vt:lpstr>
      <vt:lpstr>8 EU-s projektek</vt:lpstr>
      <vt:lpstr>9 Többéves kihatással járó dönt</vt:lpstr>
      <vt:lpstr>'3 bevételek'!Nyomtatási_cím</vt:lpstr>
      <vt:lpstr>'4 int-i bevételek '!Nyomtatási_cím</vt:lpstr>
      <vt:lpstr>'5 kiadások'!Nyomtatási_cím</vt:lpstr>
      <vt:lpstr>'6 beruházások'!Nyomtatási_cím</vt:lpstr>
      <vt:lpstr>'1 ei felhaszn'!Nyomtatási_terület</vt:lpstr>
      <vt:lpstr>'2 mérleg'!Nyomtatási_terület</vt:lpstr>
      <vt:lpstr>'3 bevételek'!Nyomtatási_terület</vt:lpstr>
      <vt:lpstr>'4 int-i bevételek '!Nyomtatási_terület</vt:lpstr>
      <vt:lpstr>'5 kiadások'!Nyomtatási_terület</vt:lpstr>
      <vt:lpstr>'6 beruházások'!Nyomtatási_terület</vt:lpstr>
      <vt:lpstr>'8 EU-s projektek'!Nyomtatási_terület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Boldoczki</dc:creator>
  <cp:lastModifiedBy>lenovo</cp:lastModifiedBy>
  <cp:lastPrinted>2019-09-11T07:51:21Z</cp:lastPrinted>
  <dcterms:created xsi:type="dcterms:W3CDTF">2006-02-08T00:02:41Z</dcterms:created>
  <dcterms:modified xsi:type="dcterms:W3CDTF">2019-09-20T03:18:07Z</dcterms:modified>
</cp:coreProperties>
</file>