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sengőd Zsuzsától\Csengőd\Képviselő-testületi ülés\2019-09-24\"/>
    </mc:Choice>
  </mc:AlternateContent>
  <xr:revisionPtr revIDLastSave="0" documentId="13_ncr:1_{67F0FEDF-7634-4E4C-B1F9-C45359FB18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5 kiadások" sheetId="1" r:id="rId1"/>
  </sheets>
  <externalReferences>
    <externalReference r:id="rId2"/>
  </externalReferences>
  <definedNames>
    <definedName name="_xlnm.Print_Titles" localSheetId="0">'5 kiadások'!$2:$4</definedName>
    <definedName name="_xlnm.Print_Area" localSheetId="0">'5 kiadások'!$A$1:$AJ$70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1" l="1"/>
  <c r="C74" i="1"/>
  <c r="C73" i="1"/>
  <c r="Z7" i="1"/>
  <c r="Z64" i="1" s="1"/>
  <c r="AE23" i="1" l="1"/>
  <c r="AF7" i="1"/>
  <c r="AE66" i="1" l="1"/>
  <c r="AE55" i="1"/>
  <c r="AE43" i="1"/>
  <c r="AE42" i="1" s="1"/>
  <c r="AE27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8" i="1"/>
  <c r="AF31" i="1"/>
  <c r="AF32" i="1"/>
  <c r="AF34" i="1"/>
  <c r="AF35" i="1"/>
  <c r="AF45" i="1"/>
  <c r="AF46" i="1"/>
  <c r="AF47" i="1"/>
  <c r="AF48" i="1"/>
  <c r="AF49" i="1"/>
  <c r="AF50" i="1"/>
  <c r="AF51" i="1"/>
  <c r="AF52" i="1"/>
  <c r="AF54" i="1"/>
  <c r="AF56" i="1"/>
  <c r="AF57" i="1"/>
  <c r="AF58" i="1"/>
  <c r="AF59" i="1"/>
  <c r="AF60" i="1"/>
  <c r="AF61" i="1"/>
  <c r="AF62" i="1"/>
  <c r="AF65" i="1"/>
  <c r="AF10" i="1"/>
  <c r="AB45" i="1"/>
  <c r="AB60" i="1"/>
  <c r="AB8" i="1"/>
  <c r="AB9" i="1"/>
  <c r="AB11" i="1"/>
  <c r="AB12" i="1"/>
  <c r="AB14" i="1"/>
  <c r="AB20" i="1"/>
  <c r="AB22" i="1"/>
  <c r="AB24" i="1"/>
  <c r="AB25" i="1"/>
  <c r="AB28" i="1"/>
  <c r="AB29" i="1"/>
  <c r="AB30" i="1"/>
  <c r="AB31" i="1"/>
  <c r="AB32" i="1"/>
  <c r="AB33" i="1"/>
  <c r="AB34" i="1"/>
  <c r="AB39" i="1"/>
  <c r="AB40" i="1"/>
  <c r="AB41" i="1"/>
  <c r="AB48" i="1"/>
  <c r="AB49" i="1"/>
  <c r="AB50" i="1"/>
  <c r="AB51" i="1"/>
  <c r="AB52" i="1"/>
  <c r="AB58" i="1"/>
  <c r="AB59" i="1"/>
  <c r="AB61" i="1"/>
  <c r="AB62" i="1"/>
  <c r="AB65" i="1"/>
  <c r="AB68" i="1"/>
  <c r="AB69" i="1"/>
  <c r="AA69" i="1"/>
  <c r="AA68" i="1"/>
  <c r="AA9" i="1"/>
  <c r="AA11" i="1"/>
  <c r="AA14" i="1"/>
  <c r="AA24" i="1"/>
  <c r="AA25" i="1"/>
  <c r="AA28" i="1"/>
  <c r="AA29" i="1"/>
  <c r="AA30" i="1"/>
  <c r="AA31" i="1"/>
  <c r="AA32" i="1"/>
  <c r="AA34" i="1"/>
  <c r="AA39" i="1"/>
  <c r="AA40" i="1"/>
  <c r="AA47" i="1"/>
  <c r="AA48" i="1"/>
  <c r="AA49" i="1"/>
  <c r="AA50" i="1"/>
  <c r="AA51" i="1"/>
  <c r="AA52" i="1"/>
  <c r="AA59" i="1"/>
  <c r="AA60" i="1"/>
  <c r="AA61" i="1"/>
  <c r="AA62" i="1"/>
  <c r="AA65" i="1"/>
  <c r="AA8" i="1"/>
  <c r="Z38" i="1"/>
  <c r="AB38" i="1" s="1"/>
  <c r="V17" i="1"/>
  <c r="AB17" i="1" s="1"/>
  <c r="V55" i="1"/>
  <c r="V44" i="1"/>
  <c r="V66" i="1" s="1"/>
  <c r="V43" i="1"/>
  <c r="V27" i="1"/>
  <c r="V15" i="1"/>
  <c r="V13" i="1" s="1"/>
  <c r="V7" i="1" s="1"/>
  <c r="W33" i="1"/>
  <c r="T54" i="1"/>
  <c r="T43" i="1" s="1"/>
  <c r="T64" i="1" s="1"/>
  <c r="T66" i="1"/>
  <c r="P43" i="1"/>
  <c r="P64" i="1" s="1"/>
  <c r="P63" i="1" s="1"/>
  <c r="P70" i="1" s="1"/>
  <c r="Q52" i="1"/>
  <c r="L47" i="1"/>
  <c r="AB47" i="1" s="1"/>
  <c r="L56" i="1"/>
  <c r="L55" i="1" s="1"/>
  <c r="L54" i="1"/>
  <c r="AB54" i="1" s="1"/>
  <c r="L46" i="1"/>
  <c r="AB46" i="1" s="1"/>
  <c r="L45" i="1"/>
  <c r="M34" i="1"/>
  <c r="L27" i="1"/>
  <c r="L23" i="1"/>
  <c r="AB23" i="1" s="1"/>
  <c r="L21" i="1"/>
  <c r="AB21" i="1" s="1"/>
  <c r="L19" i="1"/>
  <c r="AB19" i="1" s="1"/>
  <c r="AB16" i="1"/>
  <c r="L10" i="1"/>
  <c r="M69" i="1"/>
  <c r="M68" i="1"/>
  <c r="M8" i="1"/>
  <c r="M9" i="1"/>
  <c r="M11" i="1"/>
  <c r="M12" i="1"/>
  <c r="M13" i="1"/>
  <c r="M14" i="1"/>
  <c r="M15" i="1"/>
  <c r="M17" i="1"/>
  <c r="M18" i="1"/>
  <c r="M24" i="1"/>
  <c r="M25" i="1"/>
  <c r="M26" i="1"/>
  <c r="M28" i="1"/>
  <c r="M29" i="1"/>
  <c r="M30" i="1"/>
  <c r="M31" i="1"/>
  <c r="M32" i="1"/>
  <c r="M35" i="1"/>
  <c r="M38" i="1"/>
  <c r="M39" i="1"/>
  <c r="M40" i="1"/>
  <c r="M48" i="1"/>
  <c r="M49" i="1"/>
  <c r="M50" i="1"/>
  <c r="M51" i="1"/>
  <c r="M52" i="1"/>
  <c r="M53" i="1"/>
  <c r="M57" i="1"/>
  <c r="M58" i="1"/>
  <c r="M59" i="1"/>
  <c r="M60" i="1"/>
  <c r="M61" i="1"/>
  <c r="M62" i="1"/>
  <c r="M65" i="1"/>
  <c r="H66" i="1"/>
  <c r="G55" i="1"/>
  <c r="H43" i="1"/>
  <c r="H42" i="1" s="1"/>
  <c r="H55" i="1"/>
  <c r="H35" i="1"/>
  <c r="H27" i="1" s="1"/>
  <c r="I69" i="1"/>
  <c r="I68" i="1"/>
  <c r="I8" i="1"/>
  <c r="I9" i="1"/>
  <c r="I11" i="1"/>
  <c r="I12" i="1"/>
  <c r="I14" i="1"/>
  <c r="I15" i="1"/>
  <c r="I16" i="1"/>
  <c r="I17" i="1"/>
  <c r="I19" i="1"/>
  <c r="I20" i="1"/>
  <c r="I21" i="1"/>
  <c r="I22" i="1"/>
  <c r="I23" i="1"/>
  <c r="I24" i="1"/>
  <c r="I25" i="1"/>
  <c r="I28" i="1"/>
  <c r="I29" i="1"/>
  <c r="I30" i="1"/>
  <c r="I31" i="1"/>
  <c r="I32" i="1"/>
  <c r="I33" i="1"/>
  <c r="I36" i="1"/>
  <c r="I37" i="1"/>
  <c r="I38" i="1"/>
  <c r="I39" i="1"/>
  <c r="I40" i="1"/>
  <c r="I41" i="1"/>
  <c r="I45" i="1"/>
  <c r="I46" i="1"/>
  <c r="I47" i="1"/>
  <c r="I48" i="1"/>
  <c r="I49" i="1"/>
  <c r="I50" i="1"/>
  <c r="I51" i="1"/>
  <c r="I52" i="1"/>
  <c r="I54" i="1"/>
  <c r="I56" i="1"/>
  <c r="I59" i="1"/>
  <c r="I60" i="1"/>
  <c r="I61" i="1"/>
  <c r="I62" i="1"/>
  <c r="I65" i="1"/>
  <c r="H10" i="1"/>
  <c r="AB10" i="1" s="1"/>
  <c r="D44" i="1"/>
  <c r="C44" i="1"/>
  <c r="D57" i="1"/>
  <c r="AB57" i="1" s="1"/>
  <c r="D55" i="1"/>
  <c r="D53" i="1"/>
  <c r="AB53" i="1" s="1"/>
  <c r="E65" i="1"/>
  <c r="E56" i="1"/>
  <c r="E58" i="1"/>
  <c r="E59" i="1"/>
  <c r="E60" i="1"/>
  <c r="E61" i="1"/>
  <c r="E62" i="1"/>
  <c r="E45" i="1"/>
  <c r="E46" i="1"/>
  <c r="E48" i="1"/>
  <c r="E49" i="1"/>
  <c r="E50" i="1"/>
  <c r="E51" i="1"/>
  <c r="E52" i="1"/>
  <c r="E54" i="1"/>
  <c r="E28" i="1"/>
  <c r="E29" i="1"/>
  <c r="E30" i="1"/>
  <c r="E33" i="1"/>
  <c r="E35" i="1"/>
  <c r="E39" i="1"/>
  <c r="E40" i="1"/>
  <c r="E41" i="1"/>
  <c r="E19" i="1"/>
  <c r="E20" i="1"/>
  <c r="E21" i="1"/>
  <c r="E22" i="1"/>
  <c r="E23" i="1"/>
  <c r="E24" i="1"/>
  <c r="E25" i="1"/>
  <c r="E11" i="1"/>
  <c r="E12" i="1"/>
  <c r="E14" i="1"/>
  <c r="E15" i="1"/>
  <c r="E16" i="1"/>
  <c r="E17" i="1"/>
  <c r="E10" i="1"/>
  <c r="E8" i="1"/>
  <c r="D37" i="1"/>
  <c r="AB37" i="1" s="1"/>
  <c r="D36" i="1"/>
  <c r="AB36" i="1" s="1"/>
  <c r="D26" i="1"/>
  <c r="AB26" i="1" s="1"/>
  <c r="D18" i="1"/>
  <c r="H18" i="1" s="1"/>
  <c r="D7" i="1"/>
  <c r="D6" i="1" s="1"/>
  <c r="M47" i="1" l="1"/>
  <c r="AB13" i="1"/>
  <c r="AB55" i="1"/>
  <c r="P42" i="1"/>
  <c r="AB43" i="1"/>
  <c r="Z27" i="1"/>
  <c r="Z63" i="1" s="1"/>
  <c r="Z70" i="1" s="1"/>
  <c r="AB56" i="1"/>
  <c r="AE64" i="1"/>
  <c r="AE63" i="1" s="1"/>
  <c r="AE70" i="1" s="1"/>
  <c r="AB35" i="1"/>
  <c r="AB15" i="1"/>
  <c r="D27" i="1"/>
  <c r="AB18" i="1"/>
  <c r="V42" i="1"/>
  <c r="Z6" i="1"/>
  <c r="V6" i="1"/>
  <c r="V64" i="1"/>
  <c r="V63" i="1" s="1"/>
  <c r="V70" i="1" s="1"/>
  <c r="L7" i="1"/>
  <c r="L6" i="1" s="1"/>
  <c r="T63" i="1"/>
  <c r="T70" i="1" s="1"/>
  <c r="T42" i="1"/>
  <c r="L44" i="1"/>
  <c r="L66" i="1" s="1"/>
  <c r="H7" i="1"/>
  <c r="H6" i="1" s="1"/>
  <c r="L43" i="1"/>
  <c r="D66" i="1"/>
  <c r="D43" i="1"/>
  <c r="G58" i="1"/>
  <c r="AA58" i="1" s="1"/>
  <c r="C57" i="1"/>
  <c r="K56" i="1"/>
  <c r="AA56" i="1" s="1"/>
  <c r="AD55" i="1"/>
  <c r="AF55" i="1" s="1"/>
  <c r="Y55" i="1"/>
  <c r="U55" i="1"/>
  <c r="S55" i="1"/>
  <c r="O55" i="1"/>
  <c r="I55" i="1"/>
  <c r="C55" i="1"/>
  <c r="S54" i="1"/>
  <c r="K54" i="1"/>
  <c r="AD53" i="1"/>
  <c r="C53" i="1"/>
  <c r="K46" i="1"/>
  <c r="K45" i="1"/>
  <c r="AA45" i="1" s="1"/>
  <c r="AJ44" i="1"/>
  <c r="AJ66" i="1" s="1"/>
  <c r="AI44" i="1"/>
  <c r="AI66" i="1" s="1"/>
  <c r="AH44" i="1"/>
  <c r="AH66" i="1" s="1"/>
  <c r="AD44" i="1"/>
  <c r="Y44" i="1"/>
  <c r="Y66" i="1" s="1"/>
  <c r="U44" i="1"/>
  <c r="U66" i="1" s="1"/>
  <c r="S44" i="1"/>
  <c r="S66" i="1" s="1"/>
  <c r="O44" i="1"/>
  <c r="O66" i="1" s="1"/>
  <c r="G44" i="1"/>
  <c r="I44" i="1" s="1"/>
  <c r="E44" i="1"/>
  <c r="AJ43" i="1"/>
  <c r="AI43" i="1"/>
  <c r="AH43" i="1"/>
  <c r="Y43" i="1"/>
  <c r="U43" i="1"/>
  <c r="O43" i="1"/>
  <c r="AD41" i="1"/>
  <c r="AF41" i="1" s="1"/>
  <c r="K41" i="1"/>
  <c r="AA41" i="1" s="1"/>
  <c r="AD40" i="1"/>
  <c r="AF40" i="1" s="1"/>
  <c r="AD39" i="1"/>
  <c r="AF39" i="1" s="1"/>
  <c r="AD38" i="1"/>
  <c r="AF38" i="1" s="1"/>
  <c r="C38" i="1"/>
  <c r="AD37" i="1"/>
  <c r="AF37" i="1" s="1"/>
  <c r="K37" i="1"/>
  <c r="M37" i="1" s="1"/>
  <c r="C37" i="1"/>
  <c r="AD36" i="1"/>
  <c r="AF36" i="1" s="1"/>
  <c r="K36" i="1"/>
  <c r="M36" i="1" s="1"/>
  <c r="C36" i="1"/>
  <c r="G35" i="1"/>
  <c r="AA35" i="1" s="1"/>
  <c r="AD33" i="1"/>
  <c r="AF33" i="1" s="1"/>
  <c r="K33" i="1"/>
  <c r="AA33" i="1" s="1"/>
  <c r="AD30" i="1"/>
  <c r="AF30" i="1" s="1"/>
  <c r="AD29" i="1"/>
  <c r="AF29" i="1" s="1"/>
  <c r="AJ27" i="1"/>
  <c r="AI27" i="1"/>
  <c r="AH27" i="1"/>
  <c r="U27" i="1"/>
  <c r="W27" i="1" s="1"/>
  <c r="S27" i="1"/>
  <c r="O27" i="1"/>
  <c r="C26" i="1"/>
  <c r="K23" i="1"/>
  <c r="AA23" i="1" s="1"/>
  <c r="K22" i="1"/>
  <c r="AA22" i="1" s="1"/>
  <c r="K21" i="1"/>
  <c r="AA21" i="1" s="1"/>
  <c r="K20" i="1"/>
  <c r="AA20" i="1" s="1"/>
  <c r="K19" i="1"/>
  <c r="AA19" i="1" s="1"/>
  <c r="C18" i="1"/>
  <c r="U17" i="1"/>
  <c r="K16" i="1"/>
  <c r="U15" i="1"/>
  <c r="S13" i="1"/>
  <c r="S7" i="1" s="1"/>
  <c r="S6" i="1" s="1"/>
  <c r="O13" i="1"/>
  <c r="O7" i="1" s="1"/>
  <c r="I13" i="1"/>
  <c r="C13" i="1"/>
  <c r="Y12" i="1"/>
  <c r="K10" i="1"/>
  <c r="G10" i="1"/>
  <c r="AD6" i="1"/>
  <c r="AJ6" i="1"/>
  <c r="AJ63" i="1" s="1"/>
  <c r="AJ70" i="1" s="1"/>
  <c r="AI6" i="1"/>
  <c r="AI63" i="1" s="1"/>
  <c r="AI70" i="1" s="1"/>
  <c r="AH6" i="1"/>
  <c r="AH63" i="1" s="1"/>
  <c r="AH70" i="1" s="1"/>
  <c r="AB44" i="1" l="1"/>
  <c r="AB66" i="1"/>
  <c r="AB27" i="1"/>
  <c r="L64" i="1"/>
  <c r="AB7" i="1"/>
  <c r="AB6" i="1" s="1"/>
  <c r="E13" i="1"/>
  <c r="G18" i="1"/>
  <c r="I18" i="1" s="1"/>
  <c r="AA18" i="1"/>
  <c r="G26" i="1"/>
  <c r="I26" i="1" s="1"/>
  <c r="E37" i="1"/>
  <c r="AA37" i="1"/>
  <c r="E55" i="1"/>
  <c r="G57" i="1"/>
  <c r="I57" i="1" s="1"/>
  <c r="AA15" i="1"/>
  <c r="AA36" i="1"/>
  <c r="AD66" i="1"/>
  <c r="AF44" i="1"/>
  <c r="AD43" i="1"/>
  <c r="AF43" i="1" s="1"/>
  <c r="AF53" i="1"/>
  <c r="G53" i="1"/>
  <c r="I53" i="1" s="1"/>
  <c r="M46" i="1"/>
  <c r="AA46" i="1"/>
  <c r="K43" i="1"/>
  <c r="M43" i="1" s="1"/>
  <c r="AA54" i="1"/>
  <c r="AB42" i="1"/>
  <c r="I10" i="1"/>
  <c r="AA10" i="1"/>
  <c r="M16" i="1"/>
  <c r="AA16" i="1"/>
  <c r="AA12" i="1"/>
  <c r="W17" i="1"/>
  <c r="AA17" i="1"/>
  <c r="E38" i="1"/>
  <c r="H64" i="1"/>
  <c r="H63" i="1" s="1"/>
  <c r="H70" i="1" s="1"/>
  <c r="M22" i="1"/>
  <c r="I35" i="1"/>
  <c r="K7" i="1"/>
  <c r="M7" i="1" s="1"/>
  <c r="M10" i="1"/>
  <c r="M19" i="1"/>
  <c r="M23" i="1"/>
  <c r="M41" i="1"/>
  <c r="M20" i="1"/>
  <c r="M33" i="1"/>
  <c r="I58" i="1"/>
  <c r="M54" i="1"/>
  <c r="M21" i="1"/>
  <c r="M56" i="1"/>
  <c r="L63" i="1"/>
  <c r="L70" i="1" s="1"/>
  <c r="M45" i="1"/>
  <c r="E57" i="1"/>
  <c r="C27" i="1"/>
  <c r="E36" i="1"/>
  <c r="D42" i="1"/>
  <c r="E26" i="1"/>
  <c r="AI64" i="1"/>
  <c r="E18" i="1"/>
  <c r="D64" i="1"/>
  <c r="AB64" i="1" s="1"/>
  <c r="AH64" i="1"/>
  <c r="E53" i="1"/>
  <c r="AJ64" i="1"/>
  <c r="O42" i="1"/>
  <c r="AI42" i="1"/>
  <c r="U13" i="1"/>
  <c r="U42" i="1"/>
  <c r="AJ42" i="1"/>
  <c r="K55" i="1"/>
  <c r="AA55" i="1" s="1"/>
  <c r="O64" i="1"/>
  <c r="Y7" i="1"/>
  <c r="Y6" i="1" s="1"/>
  <c r="G27" i="1"/>
  <c r="I27" i="1" s="1"/>
  <c r="Y42" i="1"/>
  <c r="K27" i="1"/>
  <c r="M27" i="1" s="1"/>
  <c r="Y38" i="1"/>
  <c r="AH42" i="1"/>
  <c r="G66" i="1"/>
  <c r="G7" i="1"/>
  <c r="O6" i="1"/>
  <c r="E27" i="1"/>
  <c r="AD27" i="1"/>
  <c r="C43" i="1"/>
  <c r="E43" i="1" s="1"/>
  <c r="S43" i="1"/>
  <c r="S42" i="1" s="1"/>
  <c r="K44" i="1"/>
  <c r="AA44" i="1" s="1"/>
  <c r="C66" i="1"/>
  <c r="E66" i="1" s="1"/>
  <c r="C7" i="1"/>
  <c r="E7" i="1" s="1"/>
  <c r="AA26" i="1" l="1"/>
  <c r="G43" i="1"/>
  <c r="AA53" i="1"/>
  <c r="AA57" i="1"/>
  <c r="AD42" i="1"/>
  <c r="AF42" i="1" s="1"/>
  <c r="U7" i="1"/>
  <c r="AA38" i="1"/>
  <c r="AA43" i="1"/>
  <c r="AA13" i="1"/>
  <c r="AD64" i="1"/>
  <c r="AF64" i="1" s="1"/>
  <c r="AF27" i="1"/>
  <c r="I66" i="1"/>
  <c r="I7" i="1"/>
  <c r="K6" i="1"/>
  <c r="M6" i="1" s="1"/>
  <c r="K66" i="1"/>
  <c r="M66" i="1" s="1"/>
  <c r="M44" i="1"/>
  <c r="M55" i="1"/>
  <c r="G42" i="1"/>
  <c r="I42" i="1" s="1"/>
  <c r="I43" i="1"/>
  <c r="K64" i="1"/>
  <c r="D63" i="1"/>
  <c r="AB63" i="1" s="1"/>
  <c r="O63" i="1"/>
  <c r="O70" i="1" s="1"/>
  <c r="Q70" i="1" s="1"/>
  <c r="Y27" i="1"/>
  <c r="Y64" i="1" s="1"/>
  <c r="Y63" i="1" s="1"/>
  <c r="Y70" i="1" s="1"/>
  <c r="K42" i="1"/>
  <c r="M42" i="1" s="1"/>
  <c r="C64" i="1"/>
  <c r="E64" i="1" s="1"/>
  <c r="C6" i="1"/>
  <c r="E6" i="1" s="1"/>
  <c r="C42" i="1"/>
  <c r="S64" i="1"/>
  <c r="G6" i="1"/>
  <c r="G64" i="1"/>
  <c r="AA27" i="1" l="1"/>
  <c r="W7" i="1"/>
  <c r="U6" i="1"/>
  <c r="W6" i="1" s="1"/>
  <c r="E42" i="1"/>
  <c r="AA42" i="1"/>
  <c r="AD63" i="1"/>
  <c r="AD70" i="1" s="1"/>
  <c r="AF70" i="1" s="1"/>
  <c r="U64" i="1"/>
  <c r="U63" i="1" s="1"/>
  <c r="U70" i="1" s="1"/>
  <c r="W70" i="1" s="1"/>
  <c r="AA7" i="1"/>
  <c r="AA6" i="1" s="1"/>
  <c r="AA66" i="1"/>
  <c r="I64" i="1"/>
  <c r="I6" i="1"/>
  <c r="K63" i="1"/>
  <c r="M64" i="1"/>
  <c r="D70" i="1"/>
  <c r="AB70" i="1" s="1"/>
  <c r="C63" i="1"/>
  <c r="E63" i="1" s="1"/>
  <c r="G63" i="1"/>
  <c r="S63" i="1"/>
  <c r="S70" i="1" s="1"/>
  <c r="AC7" i="1" l="1"/>
  <c r="AF63" i="1"/>
  <c r="AA63" i="1"/>
  <c r="AA64" i="1"/>
  <c r="K70" i="1"/>
  <c r="M70" i="1" s="1"/>
  <c r="M63" i="1"/>
  <c r="G70" i="1"/>
  <c r="I70" i="1" s="1"/>
  <c r="I63" i="1"/>
  <c r="AC6" i="1"/>
  <c r="C70" i="1"/>
  <c r="AA70" i="1" l="1"/>
  <c r="E70" i="1"/>
</calcChain>
</file>

<file path=xl/sharedStrings.xml><?xml version="1.0" encoding="utf-8"?>
<sst xmlns="http://schemas.openxmlformats.org/spreadsheetml/2006/main" count="151" uniqueCount="117">
  <si>
    <t>Cím</t>
  </si>
  <si>
    <t>Munkaadókat terhelő</t>
  </si>
  <si>
    <t>Egyéb működési célú kiadások</t>
  </si>
  <si>
    <t>Működési</t>
  </si>
  <si>
    <t>Beruházá-</t>
  </si>
  <si>
    <t>Egyéb felhalmozási célú kiadások</t>
  </si>
  <si>
    <t>Alcím</t>
  </si>
  <si>
    <t>államház-tartáson kívülre</t>
  </si>
  <si>
    <t>államház-tartáson belülre</t>
  </si>
  <si>
    <t>célú kiadások</t>
  </si>
  <si>
    <t>sok, felújí-</t>
  </si>
  <si>
    <t>tarta-lékok</t>
  </si>
  <si>
    <t>ÖSSZESEN</t>
  </si>
  <si>
    <t>Szám</t>
  </si>
  <si>
    <t>Ebből: kötelező feladatellátás</t>
  </si>
  <si>
    <t>önként vállalt feladatok</t>
  </si>
  <si>
    <t>állami (államigazgatási) feladat</t>
  </si>
  <si>
    <t>Önkormányzat igazgatási tevékenysége</t>
  </si>
  <si>
    <t>Képviselő testületi és igazgatási feladatok</t>
  </si>
  <si>
    <t>Költségvetési tartalék, céltartalék</t>
  </si>
  <si>
    <t>Társulási hozzájárulás</t>
  </si>
  <si>
    <t>Ebből: Ebrendészeti hozzájárulás</t>
  </si>
  <si>
    <t xml:space="preserve">            Házi-és gyermekügyeleti hozzájárulás</t>
  </si>
  <si>
    <t xml:space="preserve">           Ivóvíz hozzájárulás</t>
  </si>
  <si>
    <t>Elvonások és befizetések</t>
  </si>
  <si>
    <t>Zöldterület-gazdálkodássa, településüzemeltetéssell kapcsolatos feladatok</t>
  </si>
  <si>
    <t xml:space="preserve"> Köztemető fenntartása</t>
  </si>
  <si>
    <t>Közutak fenntarása</t>
  </si>
  <si>
    <t>Közvilágítás</t>
  </si>
  <si>
    <t>Város -és községgazdálkodási szolgáltatás</t>
  </si>
  <si>
    <t>Önkormányzati vagyongazdálkodás, hasznosítás</t>
  </si>
  <si>
    <t>Bölcsődei feladatellátás</t>
  </si>
  <si>
    <t>Óvodai ellátás, étkeztetés, szociális feladatok</t>
  </si>
  <si>
    <t>Önkormányzati rendezvények</t>
  </si>
  <si>
    <t>Pályázatok</t>
  </si>
  <si>
    <t>Vízművek energiahatékonyságának fejlesztése</t>
  </si>
  <si>
    <t>Víztorony felújítása</t>
  </si>
  <si>
    <t>TOP-1.4.1-16-BK1-2017-00007.</t>
  </si>
  <si>
    <t xml:space="preserve">TOP-3.2.1-15-BK1-2016-00037. </t>
  </si>
  <si>
    <t xml:space="preserve">TOP-3.2.2-15-BK1-2016-00003 </t>
  </si>
  <si>
    <t xml:space="preserve">TOP-4.2.1-15-BK1-2016-00010 </t>
  </si>
  <si>
    <t>TOP-5.3.1-16-BK1-2017-00004.</t>
  </si>
  <si>
    <t>VP</t>
  </si>
  <si>
    <t>VP6-7.2.1-7.4.1.3-17 -piac</t>
  </si>
  <si>
    <t>VP6-19.2.1.-91-3.-17 -térfigyelőkamera rendszer kiépítése</t>
  </si>
  <si>
    <t>VP6-7.2.1-7.4.1.2-16-"Telefonos út stabilizációja"</t>
  </si>
  <si>
    <t>Szociális, egészségügyi, gyermekvédelmi ellátások, segélyek, támogatások</t>
  </si>
  <si>
    <t>Szociális tűzifa 2017 kiegészítés</t>
  </si>
  <si>
    <t>Szociális tűzifa 2018</t>
  </si>
  <si>
    <t>Télirezsicsökkentés</t>
  </si>
  <si>
    <t>Rendkívüli települési támogatás</t>
  </si>
  <si>
    <t>Gyermekvédelmi ellátások</t>
  </si>
  <si>
    <t>Bursa Hungarica</t>
  </si>
  <si>
    <t>Köztemetés</t>
  </si>
  <si>
    <t>Család- és nővédelmi egészségügyi gondozás</t>
  </si>
  <si>
    <t>Fogorvosi, háziorvosi alapellátás</t>
  </si>
  <si>
    <t xml:space="preserve">Közfoglalkoztatás </t>
  </si>
  <si>
    <t>Közfoglalkoztatási mintaprogram</t>
  </si>
  <si>
    <t>Közművelődési intézmények, közösségi színterek működtetése</t>
  </si>
  <si>
    <t>Mezei őrszolgálat fenntartása</t>
  </si>
  <si>
    <t>Környezetvédelmi feladatok</t>
  </si>
  <si>
    <t>Civil szervezetek, személyek támogatása</t>
  </si>
  <si>
    <t>Szabadidősport (rekreációs) tevékenység</t>
  </si>
  <si>
    <t>Egyéb kiadói tevékenység</t>
  </si>
  <si>
    <t>ÖNKORMÁNYZATI KIADÁSOK ÖSSZESEN ( 4-22. sorok )</t>
  </si>
  <si>
    <t>Finanszírozási kiadások</t>
  </si>
  <si>
    <t xml:space="preserve"> Likviditási célú hitelek, kölcsönök törlesztése pénzügyi vállalkozásnak</t>
  </si>
  <si>
    <t>Államháztartáson belüli megelőlegezések  visszafizetése</t>
  </si>
  <si>
    <r>
      <t xml:space="preserve">AZ ÖNKORMÁNYZAT KIADÁSAI FINANSZÍROZÁSI KIADÁSOKKAL ÖSSZESEN </t>
    </r>
    <r>
      <rPr>
        <sz val="8"/>
        <rFont val="Times New Roman CE"/>
        <family val="1"/>
        <charset val="238"/>
      </rPr>
      <t>( 4-24. sorok )</t>
    </r>
  </si>
  <si>
    <t>Személyi kiadások-EREDETI ELŐIRÁNYZAT</t>
  </si>
  <si>
    <t>Személyi kiadások-MÓDOSÍTOTT ELŐIRÁNYZAT</t>
  </si>
  <si>
    <t>Eltérés oka</t>
  </si>
  <si>
    <t>Eltérés</t>
  </si>
  <si>
    <t>Szükséges előirányzat biztosítása</t>
  </si>
  <si>
    <t>Szociális tűzifa 2019</t>
  </si>
  <si>
    <t>József Attila utcaszkasz felújítása (Csengőd 576.)</t>
  </si>
  <si>
    <t>József Attila utcaszkasz felújítása (csengőd 55.)</t>
  </si>
  <si>
    <t>Térfigyelő kamerarendszer kiépítése</t>
  </si>
  <si>
    <t>A pályázattól való elállás</t>
  </si>
  <si>
    <t>Cím , alcím</t>
  </si>
  <si>
    <t>járulékok és szociális-</t>
  </si>
  <si>
    <t>hozzájárulási adó--EREDETI ELŐIRÁNYZAT</t>
  </si>
  <si>
    <t>A nyilvánossággal összefügggő tevékenység biztosítása</t>
  </si>
  <si>
    <t>A nyilvánossággal összefüggő tevékenység biztosításának járuléka</t>
  </si>
  <si>
    <t>hozzájárulási adó-MÓDOSÍTOTT ELŐIRÁNYZAT</t>
  </si>
  <si>
    <t>Dologi kiadások-EREDETI ELŐIRÁNYZAT</t>
  </si>
  <si>
    <t>Dologi kiadások-MÓDOSÍTOTT ELŐIRÁNYZAT</t>
  </si>
  <si>
    <t>Ellátottak pénzbeli juttatásai--EREDETI ELŐIRÁNYZAT</t>
  </si>
  <si>
    <t>Ellátottak pénzbeli juttatásai-MÓDOSÍTOTT ELŐIRÁNYZAT</t>
  </si>
  <si>
    <t>Képletelési hiba</t>
  </si>
  <si>
    <t>Műszaki ellenőri szolgáltatás díja a József Attila utca (576) előirányzatára került átcsoportosításra</t>
  </si>
  <si>
    <t>TOP-1.4.1-19-BK1-2019-00032.</t>
  </si>
  <si>
    <t>Pályázat előkészítésével kapcsolatos megbízási díj (kötelező)</t>
  </si>
  <si>
    <t>Megkötött szerződések alapján szükséges előirányzatok</t>
  </si>
  <si>
    <t>A BMÖF/51-41/2019. számú támogatói okirat szerinti támogatás (3108960.-) és a     /2019. (    ) Kt. Határozattal biztosított önerő</t>
  </si>
  <si>
    <t>A     /2019. (     ) Kt. Határozattal megállapított iskolakezdési támogatáshoz kapcsolodó beszerzés előirányzata</t>
  </si>
  <si>
    <t>MÓDOSÍTOTT ELŐIRÁNYZAT</t>
  </si>
  <si>
    <t>államház-tartáson kívülre-EREDETI ELŐIRÁNYZAT</t>
  </si>
  <si>
    <t>államház-tartáson belülre-EREDETI ELŐIRÁNYZAT</t>
  </si>
  <si>
    <t>államház-tartáson belülre-MÓDOSÍTOTT ELŐIRÁNYZAT</t>
  </si>
  <si>
    <t>Elállással összefüggő visszafizetési kötelezettség (     /2019. (    )    ) Kt. Határozat alapján)</t>
  </si>
  <si>
    <t>Átcsoportosítás</t>
  </si>
  <si>
    <t>tartalékok-MÓDOSÍTOTT ELŐIRÁNYZAT</t>
  </si>
  <si>
    <t>tartalékok-EREDETI ELŐIRÁNYZAT</t>
  </si>
  <si>
    <t>Megelőlegezés visszafizetése</t>
  </si>
  <si>
    <t>tások-EREDETI ELŐIRÁNYZAT</t>
  </si>
  <si>
    <t>tások-MÓDOSÍTOTT ELŐIRÁNYZAT</t>
  </si>
  <si>
    <t>Tárgyi eszköz beszerzés</t>
  </si>
  <si>
    <t>Gumilap beszerzése</t>
  </si>
  <si>
    <t>Nem nyert a pályázat</t>
  </si>
  <si>
    <t>A     /2019. (    )   Kt. Határozat szerinti önerő biztosítása</t>
  </si>
  <si>
    <t>A kötelezettségvállaláshoz szükséges előirányzat biztosítása a    /2019. (    ). Kt. Határozat alapján</t>
  </si>
  <si>
    <t>Előirányzat ácsoportosítás</t>
  </si>
  <si>
    <t>Diákmunka személyi kiadása</t>
  </si>
  <si>
    <t>Diákmunka járulékai</t>
  </si>
  <si>
    <t xml:space="preserve">Klíma </t>
  </si>
  <si>
    <t>A távhővezetékhez ingatlna vásárlás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</si>
</sst>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ahoma"/>
      <family val="2"/>
      <charset val="238"/>
    </font>
    <font>
      <sz val="10"/>
      <color rgb="FFFF0000"/>
      <name val="Times New Roman CE"/>
      <charset val="238"/>
    </font>
    <font>
      <b/>
      <sz val="7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Arial CE"/>
      <charset val="238"/>
    </font>
    <font>
      <b/>
      <i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color rgb="FFFF0000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i/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rgb="FF00B0F0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7"/>
      <name val="Times New Roman"/>
      <family val="1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3" fontId="2" fillId="2" borderId="0" xfId="1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3" fontId="8" fillId="2" borderId="11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3" fontId="9" fillId="0" borderId="18" xfId="1" applyNumberFormat="1" applyFont="1" applyBorder="1" applyAlignment="1">
      <alignment horizontal="right" vertical="center"/>
    </xf>
    <xf numFmtId="3" fontId="9" fillId="0" borderId="21" xfId="1" applyNumberFormat="1" applyFont="1" applyBorder="1" applyAlignment="1">
      <alignment horizontal="right" vertical="center"/>
    </xf>
    <xf numFmtId="3" fontId="9" fillId="3" borderId="14" xfId="1" applyNumberFormat="1" applyFont="1" applyFill="1" applyBorder="1" applyAlignment="1">
      <alignment horizontal="right" vertical="center"/>
    </xf>
    <xf numFmtId="3" fontId="12" fillId="3" borderId="14" xfId="1" applyNumberFormat="1" applyFont="1" applyFill="1" applyBorder="1" applyAlignment="1">
      <alignment horizontal="right" vertical="center"/>
    </xf>
    <xf numFmtId="3" fontId="17" fillId="0" borderId="0" xfId="1" applyNumberFormat="1" applyFont="1" applyAlignment="1">
      <alignment vertical="center"/>
    </xf>
    <xf numFmtId="3" fontId="20" fillId="3" borderId="7" xfId="1" applyNumberFormat="1" applyFont="1" applyFill="1" applyBorder="1" applyAlignment="1">
      <alignment horizontal="center" vertical="center"/>
    </xf>
    <xf numFmtId="3" fontId="18" fillId="3" borderId="9" xfId="1" applyNumberFormat="1" applyFont="1" applyFill="1" applyBorder="1" applyAlignment="1">
      <alignment horizontal="right" vertical="center"/>
    </xf>
    <xf numFmtId="3" fontId="19" fillId="3" borderId="9" xfId="1" applyNumberFormat="1" applyFont="1" applyFill="1" applyBorder="1" applyAlignment="1">
      <alignment horizontal="right" vertical="center"/>
    </xf>
    <xf numFmtId="3" fontId="21" fillId="4" borderId="31" xfId="1" applyNumberFormat="1" applyFont="1" applyFill="1" applyBorder="1" applyAlignment="1">
      <alignment horizontal="center" vertical="center"/>
    </xf>
    <xf numFmtId="3" fontId="9" fillId="4" borderId="3" xfId="2" applyNumberFormat="1" applyFont="1" applyFill="1" applyBorder="1" applyAlignment="1">
      <alignment vertical="center" shrinkToFit="1"/>
    </xf>
    <xf numFmtId="3" fontId="9" fillId="4" borderId="19" xfId="1" applyNumberFormat="1" applyFont="1" applyFill="1" applyBorder="1" applyAlignment="1">
      <alignment horizontal="right" vertical="center"/>
    </xf>
    <xf numFmtId="3" fontId="21" fillId="4" borderId="2" xfId="1" applyNumberFormat="1" applyFont="1" applyFill="1" applyBorder="1" applyAlignment="1">
      <alignment horizontal="center" vertical="center"/>
    </xf>
    <xf numFmtId="3" fontId="10" fillId="4" borderId="21" xfId="1" applyNumberFormat="1" applyFont="1" applyFill="1" applyBorder="1" applyAlignment="1">
      <alignment horizontal="left"/>
    </xf>
    <xf numFmtId="3" fontId="9" fillId="4" borderId="18" xfId="1" applyNumberFormat="1" applyFont="1" applyFill="1" applyBorder="1" applyAlignment="1">
      <alignment horizontal="right" vertical="center"/>
    </xf>
    <xf numFmtId="3" fontId="9" fillId="4" borderId="3" xfId="1" applyNumberFormat="1" applyFont="1" applyFill="1" applyBorder="1" applyAlignment="1">
      <alignment horizontal="right" vertical="center"/>
    </xf>
    <xf numFmtId="3" fontId="21" fillId="4" borderId="23" xfId="1" applyNumberFormat="1" applyFont="1" applyFill="1" applyBorder="1" applyAlignment="1">
      <alignment horizontal="center" vertical="center"/>
    </xf>
    <xf numFmtId="3" fontId="10" fillId="4" borderId="10" xfId="1" applyNumberFormat="1" applyFont="1" applyFill="1" applyBorder="1" applyAlignment="1">
      <alignment horizontal="left"/>
    </xf>
    <xf numFmtId="3" fontId="9" fillId="4" borderId="10" xfId="1" applyNumberFormat="1" applyFont="1" applyFill="1" applyBorder="1" applyAlignment="1">
      <alignment horizontal="right" vertical="center"/>
    </xf>
    <xf numFmtId="3" fontId="9" fillId="4" borderId="9" xfId="1" applyNumberFormat="1" applyFont="1" applyFill="1" applyBorder="1" applyAlignment="1">
      <alignment horizontal="right" vertical="center"/>
    </xf>
    <xf numFmtId="3" fontId="21" fillId="0" borderId="21" xfId="1" applyNumberFormat="1" applyFont="1" applyBorder="1" applyAlignment="1">
      <alignment horizontal="center" vertical="center"/>
    </xf>
    <xf numFmtId="3" fontId="9" fillId="0" borderId="16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vertical="center"/>
    </xf>
    <xf numFmtId="3" fontId="21" fillId="0" borderId="18" xfId="1" applyNumberFormat="1" applyFont="1" applyBorder="1" applyAlignment="1">
      <alignment horizontal="center" vertical="center"/>
    </xf>
    <xf numFmtId="3" fontId="10" fillId="2" borderId="18" xfId="1" applyNumberFormat="1" applyFont="1" applyFill="1" applyBorder="1" applyAlignment="1">
      <alignment horizontal="left"/>
    </xf>
    <xf numFmtId="3" fontId="10" fillId="0" borderId="18" xfId="1" applyNumberFormat="1" applyFont="1" applyBorder="1" applyAlignment="1">
      <alignment horizontal="right" vertical="center"/>
    </xf>
    <xf numFmtId="3" fontId="10" fillId="2" borderId="18" xfId="1" applyNumberFormat="1" applyFont="1" applyFill="1" applyBorder="1" applyAlignment="1">
      <alignment horizontal="right" vertical="center"/>
    </xf>
    <xf numFmtId="3" fontId="14" fillId="0" borderId="18" xfId="1" applyNumberFormat="1" applyFont="1" applyBorder="1" applyAlignment="1">
      <alignment horizontal="right" vertical="center"/>
    </xf>
    <xf numFmtId="3" fontId="14" fillId="2" borderId="18" xfId="1" applyNumberFormat="1" applyFont="1" applyFill="1" applyBorder="1" applyAlignment="1">
      <alignment horizontal="right" vertical="center"/>
    </xf>
    <xf numFmtId="3" fontId="22" fillId="0" borderId="21" xfId="1" applyNumberFormat="1" applyFont="1" applyBorder="1" applyAlignment="1">
      <alignment horizontal="center" vertical="center"/>
    </xf>
    <xf numFmtId="3" fontId="10" fillId="0" borderId="21" xfId="1" applyNumberFormat="1" applyFont="1" applyBorder="1" applyAlignment="1">
      <alignment horizontal="left"/>
    </xf>
    <xf numFmtId="3" fontId="10" fillId="0" borderId="21" xfId="1" applyNumberFormat="1" applyFont="1" applyBorder="1" applyAlignment="1">
      <alignment horizontal="right" vertical="center"/>
    </xf>
    <xf numFmtId="3" fontId="14" fillId="0" borderId="21" xfId="1" applyNumberFormat="1" applyFont="1" applyBorder="1" applyAlignment="1">
      <alignment horizontal="right" vertical="center"/>
    </xf>
    <xf numFmtId="3" fontId="14" fillId="0" borderId="21" xfId="1" applyNumberFormat="1" applyFont="1" applyBorder="1" applyAlignment="1">
      <alignment vertical="center" shrinkToFit="1"/>
    </xf>
    <xf numFmtId="3" fontId="14" fillId="2" borderId="21" xfId="1" applyNumberFormat="1" applyFont="1" applyFill="1" applyBorder="1" applyAlignment="1">
      <alignment horizontal="right" vertical="center"/>
    </xf>
    <xf numFmtId="3" fontId="14" fillId="2" borderId="21" xfId="1" applyNumberFormat="1" applyFont="1" applyFill="1" applyBorder="1" applyAlignment="1">
      <alignment vertical="center"/>
    </xf>
    <xf numFmtId="3" fontId="9" fillId="2" borderId="21" xfId="1" applyNumberFormat="1" applyFont="1" applyFill="1" applyBorder="1" applyAlignment="1">
      <alignment horizontal="right" vertical="center"/>
    </xf>
    <xf numFmtId="3" fontId="14" fillId="2" borderId="10" xfId="1" applyNumberFormat="1" applyFont="1" applyFill="1" applyBorder="1" applyAlignment="1">
      <alignment horizontal="right" vertical="center"/>
    </xf>
    <xf numFmtId="3" fontId="10" fillId="0" borderId="21" xfId="1" applyNumberFormat="1" applyFont="1" applyBorder="1" applyAlignment="1">
      <alignment vertical="center" shrinkToFit="1"/>
    </xf>
    <xf numFmtId="3" fontId="14" fillId="2" borderId="10" xfId="1" applyNumberFormat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14" fillId="2" borderId="10" xfId="1" applyNumberFormat="1" applyFont="1" applyFill="1" applyBorder="1" applyAlignment="1">
      <alignment horizontal="left"/>
    </xf>
    <xf numFmtId="3" fontId="9" fillId="2" borderId="10" xfId="1" applyNumberFormat="1" applyFont="1" applyFill="1" applyBorder="1" applyAlignment="1">
      <alignment horizontal="right" vertical="center"/>
    </xf>
    <xf numFmtId="3" fontId="9" fillId="2" borderId="16" xfId="1" applyNumberFormat="1" applyFont="1" applyFill="1" applyBorder="1" applyAlignment="1">
      <alignment vertical="center" wrapText="1"/>
    </xf>
    <xf numFmtId="3" fontId="14" fillId="2" borderId="16" xfId="1" applyNumberFormat="1" applyFont="1" applyFill="1" applyBorder="1" applyAlignment="1">
      <alignment horizontal="right" vertical="center"/>
    </xf>
    <xf numFmtId="3" fontId="14" fillId="2" borderId="16" xfId="1" applyNumberFormat="1" applyFont="1" applyFill="1" applyBorder="1" applyAlignment="1">
      <alignment vertical="center"/>
    </xf>
    <xf numFmtId="3" fontId="9" fillId="2" borderId="16" xfId="1" applyNumberFormat="1" applyFont="1" applyFill="1" applyBorder="1" applyAlignment="1">
      <alignment horizontal="right" vertical="center"/>
    </xf>
    <xf numFmtId="3" fontId="9" fillId="2" borderId="16" xfId="1" applyNumberFormat="1" applyFont="1" applyFill="1" applyBorder="1" applyAlignment="1">
      <alignment vertical="center" shrinkToFit="1"/>
    </xf>
    <xf numFmtId="3" fontId="14" fillId="0" borderId="16" xfId="1" applyNumberFormat="1" applyFont="1" applyBorder="1" applyAlignment="1">
      <alignment horizontal="right" vertical="center"/>
    </xf>
    <xf numFmtId="3" fontId="21" fillId="2" borderId="21" xfId="1" applyNumberFormat="1" applyFont="1" applyFill="1" applyBorder="1" applyAlignment="1">
      <alignment horizontal="center" vertical="center"/>
    </xf>
    <xf numFmtId="3" fontId="23" fillId="2" borderId="16" xfId="1" applyNumberFormat="1" applyFont="1" applyFill="1" applyBorder="1" applyAlignment="1">
      <alignment vertical="center" shrinkToFit="1"/>
    </xf>
    <xf numFmtId="3" fontId="24" fillId="2" borderId="16" xfId="1" applyNumberFormat="1" applyFont="1" applyFill="1" applyBorder="1" applyAlignment="1">
      <alignment horizontal="right" vertical="center"/>
    </xf>
    <xf numFmtId="3" fontId="24" fillId="2" borderId="16" xfId="1" applyNumberFormat="1" applyFont="1" applyFill="1" applyBorder="1" applyAlignment="1">
      <alignment vertical="center"/>
    </xf>
    <xf numFmtId="3" fontId="23" fillId="2" borderId="16" xfId="1" applyNumberFormat="1" applyFont="1" applyFill="1" applyBorder="1" applyAlignment="1">
      <alignment horizontal="right" vertical="center"/>
    </xf>
    <xf numFmtId="3" fontId="24" fillId="0" borderId="16" xfId="1" applyNumberFormat="1" applyFont="1" applyBorder="1" applyAlignment="1">
      <alignment horizontal="right" vertical="center"/>
    </xf>
    <xf numFmtId="3" fontId="3" fillId="2" borderId="0" xfId="1" applyNumberFormat="1" applyFont="1" applyFill="1" applyAlignment="1">
      <alignment vertical="center"/>
    </xf>
    <xf numFmtId="3" fontId="23" fillId="2" borderId="16" xfId="1" applyNumberFormat="1" applyFont="1" applyFill="1" applyBorder="1" applyAlignment="1">
      <alignment horizontal="left" wrapText="1"/>
    </xf>
    <xf numFmtId="3" fontId="25" fillId="2" borderId="16" xfId="1" applyNumberFormat="1" applyFont="1" applyFill="1" applyBorder="1" applyAlignment="1">
      <alignment vertical="center" shrinkToFit="1"/>
    </xf>
    <xf numFmtId="3" fontId="9" fillId="2" borderId="16" xfId="1" applyNumberFormat="1" applyFont="1" applyFill="1" applyBorder="1" applyAlignment="1">
      <alignment horizontal="left" wrapText="1"/>
    </xf>
    <xf numFmtId="3" fontId="26" fillId="2" borderId="31" xfId="2" applyNumberFormat="1" applyFont="1" applyFill="1" applyBorder="1" applyAlignment="1">
      <alignment vertical="center"/>
    </xf>
    <xf numFmtId="3" fontId="27" fillId="2" borderId="3" xfId="1" applyNumberFormat="1" applyFont="1" applyFill="1" applyBorder="1" applyAlignment="1">
      <alignment horizontal="right" vertical="center"/>
    </xf>
    <xf numFmtId="3" fontId="27" fillId="2" borderId="3" xfId="1" applyNumberFormat="1" applyFont="1" applyFill="1" applyBorder="1" applyAlignment="1">
      <alignment vertical="center"/>
    </xf>
    <xf numFmtId="3" fontId="26" fillId="2" borderId="3" xfId="1" applyNumberFormat="1" applyFont="1" applyFill="1" applyBorder="1" applyAlignment="1">
      <alignment horizontal="right" vertical="center"/>
    </xf>
    <xf numFmtId="3" fontId="21" fillId="4" borderId="21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left"/>
    </xf>
    <xf numFmtId="3" fontId="9" fillId="4" borderId="16" xfId="1" applyNumberFormat="1" applyFont="1" applyFill="1" applyBorder="1" applyAlignment="1">
      <alignment horizontal="right" vertical="center"/>
    </xf>
    <xf numFmtId="3" fontId="21" fillId="0" borderId="23" xfId="1" applyNumberFormat="1" applyFont="1" applyBorder="1" applyAlignment="1">
      <alignment horizontal="center" vertical="center"/>
    </xf>
    <xf numFmtId="3" fontId="14" fillId="0" borderId="18" xfId="1" applyNumberFormat="1" applyFont="1" applyBorder="1" applyAlignment="1">
      <alignment horizontal="left" wrapText="1"/>
    </xf>
    <xf numFmtId="3" fontId="21" fillId="2" borderId="23" xfId="1" applyNumberFormat="1" applyFont="1" applyFill="1" applyBorder="1" applyAlignment="1">
      <alignment horizontal="center" vertical="center"/>
    </xf>
    <xf numFmtId="0" fontId="14" fillId="2" borderId="18" xfId="0" applyFont="1" applyFill="1" applyBorder="1"/>
    <xf numFmtId="3" fontId="14" fillId="2" borderId="18" xfId="1" applyNumberFormat="1" applyFont="1" applyFill="1" applyBorder="1" applyAlignment="1">
      <alignment vertical="center"/>
    </xf>
    <xf numFmtId="3" fontId="9" fillId="2" borderId="18" xfId="1" applyNumberFormat="1" applyFont="1" applyFill="1" applyBorder="1" applyAlignment="1">
      <alignment horizontal="right" vertical="center"/>
    </xf>
    <xf numFmtId="3" fontId="21" fillId="2" borderId="22" xfId="1" applyNumberFormat="1" applyFont="1" applyFill="1" applyBorder="1" applyAlignment="1">
      <alignment horizontal="center" vertical="center"/>
    </xf>
    <xf numFmtId="0" fontId="14" fillId="2" borderId="21" xfId="0" applyFont="1" applyFill="1" applyBorder="1"/>
    <xf numFmtId="0" fontId="14" fillId="0" borderId="21" xfId="0" applyFont="1" applyBorder="1"/>
    <xf numFmtId="3" fontId="28" fillId="2" borderId="10" xfId="1" applyNumberFormat="1" applyFont="1" applyFill="1" applyBorder="1" applyAlignment="1">
      <alignment horizontal="right" vertical="center"/>
    </xf>
    <xf numFmtId="3" fontId="28" fillId="2" borderId="10" xfId="1" applyNumberFormat="1" applyFont="1" applyFill="1" applyBorder="1" applyAlignment="1">
      <alignment vertical="center"/>
    </xf>
    <xf numFmtId="3" fontId="29" fillId="2" borderId="10" xfId="1" applyNumberFormat="1" applyFont="1" applyFill="1" applyBorder="1" applyAlignment="1">
      <alignment horizontal="right" vertical="center"/>
    </xf>
    <xf numFmtId="3" fontId="28" fillId="0" borderId="10" xfId="1" applyNumberFormat="1" applyFont="1" applyBorder="1" applyAlignment="1">
      <alignment horizontal="right" vertical="center"/>
    </xf>
    <xf numFmtId="0" fontId="30" fillId="0" borderId="21" xfId="0" applyFont="1" applyBorder="1"/>
    <xf numFmtId="0" fontId="30" fillId="0" borderId="2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3" fontId="14" fillId="0" borderId="10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vertical="center"/>
    </xf>
    <xf numFmtId="3" fontId="21" fillId="4" borderId="32" xfId="1" applyNumberFormat="1" applyFont="1" applyFill="1" applyBorder="1" applyAlignment="1">
      <alignment horizontal="center" vertical="center"/>
    </xf>
    <xf numFmtId="3" fontId="9" fillId="4" borderId="19" xfId="1" applyNumberFormat="1" applyFont="1" applyFill="1" applyBorder="1" applyAlignment="1">
      <alignment horizontal="left" wrapText="1"/>
    </xf>
    <xf numFmtId="3" fontId="21" fillId="4" borderId="17" xfId="1" applyNumberFormat="1" applyFont="1" applyFill="1" applyBorder="1" applyAlignment="1">
      <alignment horizontal="center" vertical="center"/>
    </xf>
    <xf numFmtId="3" fontId="10" fillId="4" borderId="18" xfId="1" applyNumberFormat="1" applyFont="1" applyFill="1" applyBorder="1" applyAlignment="1">
      <alignment horizontal="left" vertical="center" indent="2"/>
    </xf>
    <xf numFmtId="3" fontId="10" fillId="4" borderId="13" xfId="1" applyNumberFormat="1" applyFont="1" applyFill="1" applyBorder="1" applyAlignment="1">
      <alignment horizontal="left" vertical="center" indent="2"/>
    </xf>
    <xf numFmtId="3" fontId="9" fillId="4" borderId="13" xfId="1" applyNumberFormat="1" applyFont="1" applyFill="1" applyBorder="1" applyAlignment="1">
      <alignment horizontal="right" vertical="center"/>
    </xf>
    <xf numFmtId="3" fontId="21" fillId="2" borderId="20" xfId="1" applyNumberFormat="1" applyFont="1" applyFill="1" applyBorder="1" applyAlignment="1">
      <alignment horizontal="center" vertical="center"/>
    </xf>
    <xf numFmtId="3" fontId="27" fillId="2" borderId="18" xfId="1" applyNumberFormat="1" applyFont="1" applyFill="1" applyBorder="1" applyAlignment="1">
      <alignment horizontal="left"/>
    </xf>
    <xf numFmtId="3" fontId="27" fillId="2" borderId="18" xfId="1" applyNumberFormat="1" applyFont="1" applyFill="1" applyBorder="1" applyAlignment="1">
      <alignment horizontal="right" vertical="center"/>
    </xf>
    <xf numFmtId="3" fontId="27" fillId="2" borderId="18" xfId="1" applyNumberFormat="1" applyFont="1" applyFill="1" applyBorder="1" applyAlignment="1">
      <alignment vertical="center"/>
    </xf>
    <xf numFmtId="3" fontId="26" fillId="2" borderId="18" xfId="1" applyNumberFormat="1" applyFont="1" applyFill="1" applyBorder="1" applyAlignment="1">
      <alignment horizontal="right" vertical="center"/>
    </xf>
    <xf numFmtId="3" fontId="27" fillId="2" borderId="21" xfId="1" applyNumberFormat="1" applyFont="1" applyFill="1" applyBorder="1" applyAlignment="1">
      <alignment horizontal="left"/>
    </xf>
    <xf numFmtId="3" fontId="27" fillId="2" borderId="21" xfId="1" applyNumberFormat="1" applyFont="1" applyFill="1" applyBorder="1" applyAlignment="1">
      <alignment horizontal="right" vertical="center"/>
    </xf>
    <xf numFmtId="3" fontId="27" fillId="2" borderId="21" xfId="1" applyNumberFormat="1" applyFont="1" applyFill="1" applyBorder="1" applyAlignment="1">
      <alignment vertical="center"/>
    </xf>
    <xf numFmtId="3" fontId="26" fillId="2" borderId="21" xfId="1" applyNumberFormat="1" applyFont="1" applyFill="1" applyBorder="1" applyAlignment="1">
      <alignment horizontal="right" vertical="center"/>
    </xf>
    <xf numFmtId="3" fontId="14" fillId="2" borderId="21" xfId="1" applyNumberFormat="1" applyFont="1" applyFill="1" applyBorder="1" applyAlignment="1">
      <alignment horizontal="left"/>
    </xf>
    <xf numFmtId="3" fontId="22" fillId="2" borderId="20" xfId="1" applyNumberFormat="1" applyFont="1" applyFill="1" applyBorder="1" applyAlignment="1">
      <alignment horizontal="center" vertical="center"/>
    </xf>
    <xf numFmtId="3" fontId="14" fillId="2" borderId="21" xfId="1" applyNumberFormat="1" applyFont="1" applyFill="1" applyBorder="1" applyAlignment="1">
      <alignment horizontal="left" wrapText="1"/>
    </xf>
    <xf numFmtId="3" fontId="22" fillId="2" borderId="24" xfId="1" applyNumberFormat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left" wrapText="1"/>
    </xf>
    <xf numFmtId="3" fontId="15" fillId="4" borderId="17" xfId="1" applyNumberFormat="1" applyFont="1" applyFill="1" applyBorder="1" applyAlignment="1">
      <alignment horizontal="center" vertical="center"/>
    </xf>
    <xf numFmtId="3" fontId="13" fillId="0" borderId="0" xfId="1" applyNumberFormat="1" applyFont="1" applyAlignment="1">
      <alignment vertical="center"/>
    </xf>
    <xf numFmtId="3" fontId="14" fillId="2" borderId="9" xfId="1" applyNumberFormat="1" applyFont="1" applyFill="1" applyBorder="1" applyAlignment="1">
      <alignment horizontal="left"/>
    </xf>
    <xf numFmtId="3" fontId="14" fillId="2" borderId="9" xfId="1" applyNumberFormat="1" applyFont="1" applyFill="1" applyBorder="1" applyAlignment="1">
      <alignment horizontal="right" vertical="center"/>
    </xf>
    <xf numFmtId="3" fontId="14" fillId="2" borderId="9" xfId="1" applyNumberFormat="1" applyFont="1" applyFill="1" applyBorder="1" applyAlignment="1">
      <alignment vertical="center"/>
    </xf>
    <xf numFmtId="3" fontId="9" fillId="2" borderId="9" xfId="1" applyNumberFormat="1" applyFont="1" applyFill="1" applyBorder="1" applyAlignment="1">
      <alignment horizontal="right" vertical="center"/>
    </xf>
    <xf numFmtId="3" fontId="22" fillId="2" borderId="33" xfId="1" applyNumberFormat="1" applyFont="1" applyFill="1" applyBorder="1" applyAlignment="1">
      <alignment horizontal="center" vertical="center"/>
    </xf>
    <xf numFmtId="3" fontId="26" fillId="2" borderId="29" xfId="1" applyNumberFormat="1" applyFont="1" applyFill="1" applyBorder="1" applyAlignment="1">
      <alignment horizontal="left" wrapText="1"/>
    </xf>
    <xf numFmtId="3" fontId="27" fillId="2" borderId="16" xfId="1" applyNumberFormat="1" applyFont="1" applyFill="1" applyBorder="1" applyAlignment="1">
      <alignment horizontal="right" vertical="center"/>
    </xf>
    <xf numFmtId="3" fontId="27" fillId="2" borderId="16" xfId="1" applyNumberFormat="1" applyFont="1" applyFill="1" applyBorder="1" applyAlignment="1">
      <alignment vertical="center"/>
    </xf>
    <xf numFmtId="3" fontId="26" fillId="2" borderId="16" xfId="1" applyNumberFormat="1" applyFont="1" applyFill="1" applyBorder="1" applyAlignment="1">
      <alignment horizontal="right" vertical="center"/>
    </xf>
    <xf numFmtId="3" fontId="27" fillId="0" borderId="16" xfId="1" applyNumberFormat="1" applyFont="1" applyBorder="1" applyAlignment="1">
      <alignment horizontal="right" vertical="center"/>
    </xf>
    <xf numFmtId="3" fontId="21" fillId="2" borderId="33" xfId="1" applyNumberFormat="1" applyFont="1" applyFill="1" applyBorder="1" applyAlignment="1">
      <alignment horizontal="center" vertical="center"/>
    </xf>
    <xf numFmtId="3" fontId="9" fillId="2" borderId="29" xfId="1" applyNumberFormat="1" applyFont="1" applyFill="1" applyBorder="1" applyAlignment="1">
      <alignment horizontal="left" wrapText="1"/>
    </xf>
    <xf numFmtId="3" fontId="21" fillId="2" borderId="28" xfId="1" applyNumberFormat="1" applyFont="1" applyFill="1" applyBorder="1" applyAlignment="1">
      <alignment horizontal="center" vertical="center"/>
    </xf>
    <xf numFmtId="3" fontId="26" fillId="2" borderId="29" xfId="1" applyNumberFormat="1" applyFont="1" applyFill="1" applyBorder="1" applyAlignment="1">
      <alignment horizontal="left"/>
    </xf>
    <xf numFmtId="3" fontId="31" fillId="0" borderId="7" xfId="1" applyNumberFormat="1" applyFont="1" applyBorder="1" applyAlignment="1">
      <alignment vertical="center"/>
    </xf>
    <xf numFmtId="3" fontId="31" fillId="0" borderId="0" xfId="1" applyNumberFormat="1" applyFont="1" applyAlignment="1">
      <alignment vertical="center"/>
    </xf>
    <xf numFmtId="3" fontId="22" fillId="2" borderId="0" xfId="1" applyNumberFormat="1" applyFont="1" applyFill="1" applyAlignment="1">
      <alignment horizontal="center" vertical="center"/>
    </xf>
    <xf numFmtId="3" fontId="9" fillId="2" borderId="34" xfId="1" applyNumberFormat="1" applyFont="1" applyFill="1" applyBorder="1" applyAlignment="1">
      <alignment horizontal="left"/>
    </xf>
    <xf numFmtId="3" fontId="9" fillId="3" borderId="16" xfId="1" applyNumberFormat="1" applyFont="1" applyFill="1" applyBorder="1" applyAlignment="1">
      <alignment horizontal="right" vertical="center"/>
    </xf>
    <xf numFmtId="3" fontId="12" fillId="3" borderId="19" xfId="1" applyNumberFormat="1" applyFont="1" applyFill="1" applyBorder="1" applyAlignment="1">
      <alignment horizontal="right" vertical="center"/>
    </xf>
    <xf numFmtId="3" fontId="32" fillId="0" borderId="7" xfId="1" applyNumberFormat="1" applyFont="1" applyBorder="1" applyAlignment="1">
      <alignment vertical="center"/>
    </xf>
    <xf numFmtId="3" fontId="32" fillId="0" borderId="0" xfId="1" applyNumberFormat="1" applyFont="1" applyAlignment="1">
      <alignment vertical="center"/>
    </xf>
    <xf numFmtId="3" fontId="12" fillId="3" borderId="9" xfId="1" applyNumberFormat="1" applyFont="1" applyFill="1" applyBorder="1" applyAlignment="1">
      <alignment horizontal="right" vertical="center"/>
    </xf>
    <xf numFmtId="3" fontId="12" fillId="3" borderId="37" xfId="1" applyNumberFormat="1" applyFont="1" applyFill="1" applyBorder="1" applyAlignment="1">
      <alignment horizontal="right" vertical="center"/>
    </xf>
    <xf numFmtId="3" fontId="12" fillId="3" borderId="8" xfId="1" applyNumberFormat="1" applyFont="1" applyFill="1" applyBorder="1" applyAlignment="1">
      <alignment horizontal="right" vertical="center"/>
    </xf>
    <xf numFmtId="3" fontId="12" fillId="3" borderId="25" xfId="1" applyNumberFormat="1" applyFont="1" applyFill="1" applyBorder="1" applyAlignment="1">
      <alignment horizontal="right" vertical="center"/>
    </xf>
    <xf numFmtId="3" fontId="33" fillId="0" borderId="7" xfId="1" applyNumberFormat="1" applyFont="1" applyBorder="1" applyAlignment="1">
      <alignment horizontal="right" vertical="center"/>
    </xf>
    <xf numFmtId="3" fontId="33" fillId="0" borderId="0" xfId="1" applyNumberFormat="1" applyFont="1" applyAlignment="1">
      <alignment horizontal="right" vertical="center"/>
    </xf>
    <xf numFmtId="3" fontId="22" fillId="2" borderId="40" xfId="1" applyNumberFormat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left" vertical="center" wrapText="1" indent="1"/>
    </xf>
    <xf numFmtId="3" fontId="31" fillId="0" borderId="21" xfId="1" applyNumberFormat="1" applyFont="1" applyBorder="1" applyAlignment="1">
      <alignment vertical="center"/>
    </xf>
    <xf numFmtId="3" fontId="9" fillId="2" borderId="25" xfId="1" applyNumberFormat="1" applyFont="1" applyFill="1" applyBorder="1" applyAlignment="1">
      <alignment horizontal="right" vertical="center"/>
    </xf>
    <xf numFmtId="3" fontId="13" fillId="2" borderId="25" xfId="1" applyNumberFormat="1" applyFont="1" applyFill="1" applyBorder="1" applyAlignment="1">
      <alignment vertical="center"/>
    </xf>
    <xf numFmtId="3" fontId="9" fillId="3" borderId="13" xfId="1" applyNumberFormat="1" applyFont="1" applyFill="1" applyBorder="1" applyAlignment="1">
      <alignment horizontal="right" vertical="center"/>
    </xf>
    <xf numFmtId="3" fontId="9" fillId="3" borderId="41" xfId="1" applyNumberFormat="1" applyFont="1" applyFill="1" applyBorder="1" applyAlignment="1">
      <alignment horizontal="right" vertical="center"/>
    </xf>
    <xf numFmtId="3" fontId="35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vertical="center"/>
    </xf>
    <xf numFmtId="3" fontId="37" fillId="0" borderId="0" xfId="1" applyNumberFormat="1" applyFont="1" applyAlignment="1">
      <alignment vertical="center"/>
    </xf>
    <xf numFmtId="3" fontId="36" fillId="0" borderId="30" xfId="1" applyNumberFormat="1" applyFont="1" applyBorder="1" applyAlignment="1">
      <alignment vertical="center"/>
    </xf>
    <xf numFmtId="3" fontId="28" fillId="0" borderId="0" xfId="1" applyNumberFormat="1" applyFont="1" applyAlignment="1">
      <alignment vertical="center"/>
    </xf>
    <xf numFmtId="3" fontId="29" fillId="0" borderId="0" xfId="1" applyNumberFormat="1" applyFont="1" applyAlignment="1">
      <alignment vertical="center"/>
    </xf>
    <xf numFmtId="3" fontId="38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14" fillId="2" borderId="0" xfId="1" applyNumberFormat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horizontal="right" vertical="center"/>
    </xf>
    <xf numFmtId="3" fontId="36" fillId="0" borderId="0" xfId="1" applyNumberFormat="1" applyFont="1" applyBorder="1" applyAlignment="1">
      <alignment vertical="center"/>
    </xf>
    <xf numFmtId="3" fontId="9" fillId="0" borderId="16" xfId="1" applyNumberFormat="1" applyFont="1" applyBorder="1" applyAlignment="1">
      <alignment horizontal="left" wrapText="1"/>
    </xf>
    <xf numFmtId="3" fontId="4" fillId="5" borderId="0" xfId="1" applyNumberFormat="1" applyFont="1" applyFill="1" applyAlignment="1">
      <alignment vertical="center"/>
    </xf>
    <xf numFmtId="3" fontId="5" fillId="5" borderId="3" xfId="1" applyNumberFormat="1" applyFont="1" applyFill="1" applyBorder="1" applyAlignment="1">
      <alignment horizontal="center" vertical="center" wrapText="1"/>
    </xf>
    <xf numFmtId="3" fontId="5" fillId="5" borderId="9" xfId="1" applyNumberFormat="1" applyFont="1" applyFill="1" applyBorder="1" applyAlignment="1">
      <alignment horizontal="center" vertical="center" wrapText="1"/>
    </xf>
    <xf numFmtId="3" fontId="5" fillId="5" borderId="13" xfId="1" applyNumberFormat="1" applyFont="1" applyFill="1" applyBorder="1" applyAlignment="1">
      <alignment horizontal="center" vertical="center" wrapText="1"/>
    </xf>
    <xf numFmtId="3" fontId="18" fillId="5" borderId="9" xfId="1" applyNumberFormat="1" applyFont="1" applyFill="1" applyBorder="1" applyAlignment="1">
      <alignment horizontal="right" vertical="center"/>
    </xf>
    <xf numFmtId="3" fontId="9" fillId="5" borderId="19" xfId="1" applyNumberFormat="1" applyFont="1" applyFill="1" applyBorder="1" applyAlignment="1">
      <alignment horizontal="right" vertical="center"/>
    </xf>
    <xf numFmtId="3" fontId="9" fillId="5" borderId="16" xfId="1" applyNumberFormat="1" applyFont="1" applyFill="1" applyBorder="1" applyAlignment="1">
      <alignment horizontal="right" vertical="center"/>
    </xf>
    <xf numFmtId="3" fontId="10" fillId="5" borderId="18" xfId="1" applyNumberFormat="1" applyFont="1" applyFill="1" applyBorder="1" applyAlignment="1">
      <alignment horizontal="right" vertical="center"/>
    </xf>
    <xf numFmtId="3" fontId="9" fillId="5" borderId="10" xfId="1" applyNumberFormat="1" applyFont="1" applyFill="1" applyBorder="1" applyAlignment="1">
      <alignment horizontal="right" vertical="center"/>
    </xf>
    <xf numFmtId="3" fontId="9" fillId="5" borderId="13" xfId="1" applyNumberFormat="1" applyFont="1" applyFill="1" applyBorder="1" applyAlignment="1">
      <alignment horizontal="right" vertical="center"/>
    </xf>
    <xf numFmtId="3" fontId="36" fillId="5" borderId="0" xfId="1" applyNumberFormat="1" applyFont="1" applyFill="1" applyAlignment="1">
      <alignment vertical="center"/>
    </xf>
    <xf numFmtId="3" fontId="28" fillId="5" borderId="0" xfId="1" applyNumberFormat="1" applyFont="1" applyFill="1" applyAlignment="1">
      <alignment vertical="center"/>
    </xf>
    <xf numFmtId="3" fontId="9" fillId="5" borderId="18" xfId="1" applyNumberFormat="1" applyFont="1" applyFill="1" applyBorder="1" applyAlignment="1">
      <alignment horizontal="right" vertical="center"/>
    </xf>
    <xf numFmtId="3" fontId="9" fillId="5" borderId="9" xfId="1" applyNumberFormat="1" applyFont="1" applyFill="1" applyBorder="1" applyAlignment="1">
      <alignment horizontal="right" vertical="center"/>
    </xf>
    <xf numFmtId="3" fontId="9" fillId="5" borderId="3" xfId="1" applyNumberFormat="1" applyFont="1" applyFill="1" applyBorder="1" applyAlignment="1">
      <alignment horizontal="right" vertical="center"/>
    </xf>
    <xf numFmtId="3" fontId="9" fillId="5" borderId="16" xfId="1" applyNumberFormat="1" applyFont="1" applyFill="1" applyBorder="1" applyAlignment="1">
      <alignment horizontal="right" vertical="center" wrapText="1"/>
    </xf>
    <xf numFmtId="0" fontId="14" fillId="0" borderId="0" xfId="0" applyFont="1"/>
    <xf numFmtId="3" fontId="9" fillId="5" borderId="9" xfId="1" applyNumberFormat="1" applyFont="1" applyFill="1" applyBorder="1" applyAlignment="1">
      <alignment horizontal="center" vertical="center" wrapText="1"/>
    </xf>
    <xf numFmtId="3" fontId="9" fillId="5" borderId="21" xfId="1" applyNumberFormat="1" applyFont="1" applyFill="1" applyBorder="1" applyAlignment="1">
      <alignment horizontal="right" vertical="center"/>
    </xf>
    <xf numFmtId="3" fontId="9" fillId="5" borderId="21" xfId="1" applyNumberFormat="1" applyFont="1" applyFill="1" applyBorder="1" applyAlignment="1">
      <alignment horizontal="right" vertical="center" wrapText="1"/>
    </xf>
    <xf numFmtId="3" fontId="10" fillId="5" borderId="21" xfId="1" applyNumberFormat="1" applyFont="1" applyFill="1" applyBorder="1" applyAlignment="1">
      <alignment horizontal="right" vertical="center"/>
    </xf>
    <xf numFmtId="3" fontId="14" fillId="5" borderId="21" xfId="1" applyNumberFormat="1" applyFont="1" applyFill="1" applyBorder="1" applyAlignment="1">
      <alignment horizontal="right" vertical="center"/>
    </xf>
    <xf numFmtId="3" fontId="14" fillId="5" borderId="10" xfId="1" applyNumberFormat="1" applyFont="1" applyFill="1" applyBorder="1" applyAlignment="1">
      <alignment horizontal="right" vertical="center"/>
    </xf>
    <xf numFmtId="3" fontId="14" fillId="5" borderId="16" xfId="1" applyNumberFormat="1" applyFont="1" applyFill="1" applyBorder="1" applyAlignment="1">
      <alignment horizontal="right" vertical="center"/>
    </xf>
    <xf numFmtId="3" fontId="24" fillId="5" borderId="16" xfId="1" applyNumberFormat="1" applyFont="1" applyFill="1" applyBorder="1" applyAlignment="1">
      <alignment horizontal="right" vertical="center"/>
    </xf>
    <xf numFmtId="3" fontId="27" fillId="5" borderId="3" xfId="1" applyNumberFormat="1" applyFont="1" applyFill="1" applyBorder="1" applyAlignment="1">
      <alignment horizontal="right" vertical="center"/>
    </xf>
    <xf numFmtId="3" fontId="14" fillId="5" borderId="18" xfId="1" applyNumberFormat="1" applyFont="1" applyFill="1" applyBorder="1" applyAlignment="1">
      <alignment horizontal="right" vertical="center"/>
    </xf>
    <xf numFmtId="3" fontId="28" fillId="5" borderId="10" xfId="1" applyNumberFormat="1" applyFont="1" applyFill="1" applyBorder="1" applyAlignment="1">
      <alignment horizontal="right" vertical="center"/>
    </xf>
    <xf numFmtId="3" fontId="27" fillId="5" borderId="18" xfId="1" applyNumberFormat="1" applyFont="1" applyFill="1" applyBorder="1" applyAlignment="1">
      <alignment horizontal="right" vertical="center"/>
    </xf>
    <xf numFmtId="3" fontId="27" fillId="5" borderId="21" xfId="1" applyNumberFormat="1" applyFont="1" applyFill="1" applyBorder="1" applyAlignment="1">
      <alignment horizontal="right" vertical="center"/>
    </xf>
    <xf numFmtId="3" fontId="14" fillId="5" borderId="9" xfId="1" applyNumberFormat="1" applyFont="1" applyFill="1" applyBorder="1" applyAlignment="1">
      <alignment horizontal="right" vertical="center"/>
    </xf>
    <xf numFmtId="3" fontId="27" fillId="5" borderId="16" xfId="1" applyNumberFormat="1" applyFont="1" applyFill="1" applyBorder="1" applyAlignment="1">
      <alignment horizontal="right" vertical="center"/>
    </xf>
    <xf numFmtId="3" fontId="26" fillId="5" borderId="16" xfId="1" applyNumberFormat="1" applyFont="1" applyFill="1" applyBorder="1" applyAlignment="1">
      <alignment horizontal="right" vertical="center"/>
    </xf>
    <xf numFmtId="3" fontId="12" fillId="5" borderId="9" xfId="1" applyNumberFormat="1" applyFont="1" applyFill="1" applyBorder="1" applyAlignment="1">
      <alignment horizontal="right" vertical="center"/>
    </xf>
    <xf numFmtId="3" fontId="12" fillId="5" borderId="25" xfId="1" applyNumberFormat="1" applyFont="1" applyFill="1" applyBorder="1" applyAlignment="1">
      <alignment horizontal="right" vertical="center"/>
    </xf>
    <xf numFmtId="3" fontId="9" fillId="5" borderId="21" xfId="1" applyNumberFormat="1" applyFont="1" applyFill="1" applyBorder="1" applyAlignment="1">
      <alignment horizontal="center" vertical="center" wrapText="1"/>
    </xf>
    <xf numFmtId="3" fontId="14" fillId="5" borderId="21" xfId="1" applyNumberFormat="1" applyFont="1" applyFill="1" applyBorder="1" applyAlignment="1">
      <alignment vertical="center"/>
    </xf>
    <xf numFmtId="3" fontId="14" fillId="5" borderId="10" xfId="1" applyNumberFormat="1" applyFont="1" applyFill="1" applyBorder="1" applyAlignment="1">
      <alignment vertical="center"/>
    </xf>
    <xf numFmtId="3" fontId="14" fillId="5" borderId="16" xfId="1" applyNumberFormat="1" applyFont="1" applyFill="1" applyBorder="1" applyAlignment="1">
      <alignment vertical="center"/>
    </xf>
    <xf numFmtId="3" fontId="24" fillId="5" borderId="16" xfId="1" applyNumberFormat="1" applyFont="1" applyFill="1" applyBorder="1" applyAlignment="1">
      <alignment vertical="center"/>
    </xf>
    <xf numFmtId="3" fontId="27" fillId="5" borderId="3" xfId="1" applyNumberFormat="1" applyFont="1" applyFill="1" applyBorder="1" applyAlignment="1">
      <alignment vertical="center"/>
    </xf>
    <xf numFmtId="3" fontId="14" fillId="5" borderId="18" xfId="1" applyNumberFormat="1" applyFont="1" applyFill="1" applyBorder="1" applyAlignment="1">
      <alignment vertical="center"/>
    </xf>
    <xf numFmtId="3" fontId="28" fillId="5" borderId="10" xfId="1" applyNumberFormat="1" applyFont="1" applyFill="1" applyBorder="1" applyAlignment="1">
      <alignment vertical="center"/>
    </xf>
    <xf numFmtId="3" fontId="27" fillId="5" borderId="18" xfId="1" applyNumberFormat="1" applyFont="1" applyFill="1" applyBorder="1" applyAlignment="1">
      <alignment vertical="center"/>
    </xf>
    <xf numFmtId="3" fontId="27" fillId="5" borderId="21" xfId="1" applyNumberFormat="1" applyFont="1" applyFill="1" applyBorder="1" applyAlignment="1">
      <alignment vertical="center"/>
    </xf>
    <xf numFmtId="3" fontId="14" fillId="5" borderId="9" xfId="1" applyNumberFormat="1" applyFont="1" applyFill="1" applyBorder="1" applyAlignment="1">
      <alignment vertical="center"/>
    </xf>
    <xf numFmtId="3" fontId="27" fillId="5" borderId="16" xfId="1" applyNumberFormat="1" applyFont="1" applyFill="1" applyBorder="1" applyAlignment="1">
      <alignment vertical="center"/>
    </xf>
    <xf numFmtId="3" fontId="12" fillId="5" borderId="19" xfId="1" applyNumberFormat="1" applyFont="1" applyFill="1" applyBorder="1" applyAlignment="1">
      <alignment horizontal="right" vertical="center"/>
    </xf>
    <xf numFmtId="3" fontId="9" fillId="5" borderId="18" xfId="1" applyNumberFormat="1" applyFont="1" applyFill="1" applyBorder="1" applyAlignment="1">
      <alignment horizontal="center" vertical="center" wrapText="1"/>
    </xf>
    <xf numFmtId="3" fontId="24" fillId="5" borderId="16" xfId="1" applyNumberFormat="1" applyFont="1" applyFill="1" applyBorder="1" applyAlignment="1">
      <alignment vertical="center" wrapText="1"/>
    </xf>
    <xf numFmtId="3" fontId="24" fillId="5" borderId="16" xfId="1" applyNumberFormat="1" applyFont="1" applyFill="1" applyBorder="1" applyAlignment="1">
      <alignment horizontal="center" vertical="center" wrapText="1"/>
    </xf>
    <xf numFmtId="3" fontId="14" fillId="5" borderId="10" xfId="1" applyNumberFormat="1" applyFont="1" applyFill="1" applyBorder="1" applyAlignment="1">
      <alignment vertical="center" wrapText="1"/>
    </xf>
    <xf numFmtId="3" fontId="27" fillId="5" borderId="21" xfId="1" applyNumberFormat="1" applyFont="1" applyFill="1" applyBorder="1" applyAlignment="1">
      <alignment vertical="center" wrapText="1"/>
    </xf>
    <xf numFmtId="3" fontId="14" fillId="5" borderId="0" xfId="1" applyNumberFormat="1" applyFont="1" applyFill="1" applyBorder="1" applyAlignment="1">
      <alignment vertical="center"/>
    </xf>
    <xf numFmtId="3" fontId="14" fillId="5" borderId="21" xfId="1" applyNumberFormat="1" applyFont="1" applyFill="1" applyBorder="1" applyAlignment="1">
      <alignment vertical="center" wrapText="1"/>
    </xf>
    <xf numFmtId="3" fontId="12" fillId="5" borderId="37" xfId="1" applyNumberFormat="1" applyFont="1" applyFill="1" applyBorder="1" applyAlignment="1">
      <alignment horizontal="right" vertical="center"/>
    </xf>
    <xf numFmtId="3" fontId="14" fillId="5" borderId="21" xfId="1" applyNumberFormat="1" applyFont="1" applyFill="1" applyBorder="1" applyAlignment="1">
      <alignment horizontal="right" vertical="center" wrapText="1"/>
    </xf>
    <xf numFmtId="3" fontId="14" fillId="5" borderId="21" xfId="1" applyNumberFormat="1" applyFont="1" applyFill="1" applyBorder="1" applyAlignment="1">
      <alignment horizontal="center" vertical="center" wrapText="1"/>
    </xf>
    <xf numFmtId="3" fontId="9" fillId="5" borderId="10" xfId="1" applyNumberFormat="1" applyFont="1" applyFill="1" applyBorder="1" applyAlignment="1">
      <alignment horizontal="right" vertical="center" wrapText="1"/>
    </xf>
    <xf numFmtId="3" fontId="31" fillId="5" borderId="0" xfId="1" applyNumberFormat="1" applyFont="1" applyFill="1" applyAlignment="1">
      <alignment vertical="center"/>
    </xf>
    <xf numFmtId="3" fontId="14" fillId="5" borderId="16" xfId="1" applyNumberFormat="1" applyFont="1" applyFill="1" applyBorder="1" applyAlignment="1">
      <alignment horizontal="right" vertical="center" wrapText="1"/>
    </xf>
    <xf numFmtId="3" fontId="24" fillId="5" borderId="16" xfId="1" applyNumberFormat="1" applyFont="1" applyFill="1" applyBorder="1" applyAlignment="1">
      <alignment horizontal="right" vertical="center" wrapText="1"/>
    </xf>
    <xf numFmtId="3" fontId="14" fillId="5" borderId="18" xfId="1" applyNumberFormat="1" applyFont="1" applyFill="1" applyBorder="1" applyAlignment="1">
      <alignment horizontal="right" vertical="center" wrapText="1"/>
    </xf>
    <xf numFmtId="3" fontId="12" fillId="5" borderId="0" xfId="1" applyNumberFormat="1" applyFont="1" applyFill="1" applyBorder="1" applyAlignment="1">
      <alignment horizontal="right" vertical="center"/>
    </xf>
    <xf numFmtId="3" fontId="9" fillId="5" borderId="25" xfId="1" applyNumberFormat="1" applyFont="1" applyFill="1" applyBorder="1" applyAlignment="1">
      <alignment horizontal="right" vertical="center"/>
    </xf>
    <xf numFmtId="3" fontId="9" fillId="5" borderId="41" xfId="1" applyNumberFormat="1" applyFont="1" applyFill="1" applyBorder="1" applyAlignment="1">
      <alignment horizontal="right" vertical="center"/>
    </xf>
    <xf numFmtId="3" fontId="14" fillId="5" borderId="10" xfId="1" applyNumberFormat="1" applyFont="1" applyFill="1" applyBorder="1" applyAlignment="1">
      <alignment horizontal="right" vertical="center" wrapText="1"/>
    </xf>
    <xf numFmtId="3" fontId="14" fillId="5" borderId="9" xfId="1" applyNumberFormat="1" applyFont="1" applyFill="1" applyBorder="1" applyAlignment="1">
      <alignment horizontal="center" vertical="center" wrapText="1"/>
    </xf>
    <xf numFmtId="3" fontId="13" fillId="3" borderId="27" xfId="1" applyNumberFormat="1" applyFont="1" applyFill="1" applyBorder="1" applyAlignment="1">
      <alignment horizontal="center" vertical="center" wrapText="1"/>
    </xf>
    <xf numFmtId="3" fontId="13" fillId="3" borderId="15" xfId="1" applyNumberFormat="1" applyFont="1" applyFill="1" applyBorder="1" applyAlignment="1">
      <alignment horizontal="center" vertical="center" wrapText="1"/>
    </xf>
    <xf numFmtId="3" fontId="13" fillId="2" borderId="26" xfId="1" applyNumberFormat="1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3" fontId="5" fillId="2" borderId="9" xfId="1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13" fillId="3" borderId="29" xfId="1" applyNumberFormat="1" applyFont="1" applyFill="1" applyBorder="1" applyAlignment="1">
      <alignment horizontal="center" vertical="center" wrapText="1"/>
    </xf>
    <xf numFmtId="3" fontId="16" fillId="3" borderId="35" xfId="1" applyNumberFormat="1" applyFont="1" applyFill="1" applyBorder="1" applyAlignment="1">
      <alignment horizontal="center" vertical="center"/>
    </xf>
    <xf numFmtId="3" fontId="16" fillId="3" borderId="6" xfId="1" applyNumberFormat="1" applyFont="1" applyFill="1" applyBorder="1" applyAlignment="1">
      <alignment horizontal="center" vertical="center"/>
    </xf>
    <xf numFmtId="3" fontId="16" fillId="3" borderId="36" xfId="1" applyNumberFormat="1" applyFont="1" applyFill="1" applyBorder="1" applyAlignment="1">
      <alignment horizontal="center" vertical="center"/>
    </xf>
    <xf numFmtId="3" fontId="16" fillId="3" borderId="23" xfId="1" applyNumberFormat="1" applyFont="1" applyFill="1" applyBorder="1" applyAlignment="1">
      <alignment horizontal="center" vertical="center"/>
    </xf>
    <xf numFmtId="3" fontId="16" fillId="3" borderId="38" xfId="1" applyNumberFormat="1" applyFont="1" applyFill="1" applyBorder="1" applyAlignment="1">
      <alignment horizontal="center" vertical="center"/>
    </xf>
    <xf numFmtId="3" fontId="16" fillId="3" borderId="39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Alignment="1">
      <alignment horizontal="right" vertical="center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center" vertical="center" wrapText="1"/>
    </xf>
    <xf numFmtId="3" fontId="8" fillId="2" borderId="42" xfId="1" applyNumberFormat="1" applyFont="1" applyFill="1" applyBorder="1" applyAlignment="1">
      <alignment horizontal="center" vertical="center" wrapText="1"/>
    </xf>
    <xf numFmtId="3" fontId="8" fillId="2" borderId="30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_végső rend. képv.mód-sal" xfId="1" xr:uid="{00000000-0005-0000-0000-000001000000}"/>
    <cellStyle name="Normál_végső rend. képv.mód-s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dai%20Ferencne\Desktop\2019.02.26.%20Kt\2019.%20&#233;vi%20K&#246;lts&#233;gvet&#233;s-terv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ei felhaszn"/>
      <sheetName val="2 mérleg"/>
      <sheetName val="3 bevételek"/>
      <sheetName val="4 int-i bevételek "/>
      <sheetName val="5 kiadások"/>
      <sheetName val="6 beruházások"/>
      <sheetName val="7 Céltartalék"/>
      <sheetName val="8 EU-s projektek"/>
      <sheetName val="9 Többéves kihatással járó dönt"/>
      <sheetName val="10 Fejlesztési célok"/>
      <sheetName val="1. sz. kimutatás"/>
      <sheetName val="2. sz. kimutatás"/>
      <sheetName val="3. sz. kimuta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0">
          <cell r="D30">
            <v>71755290</v>
          </cell>
        </row>
        <row r="33">
          <cell r="D33">
            <v>129984780</v>
          </cell>
        </row>
        <row r="34">
          <cell r="D34">
            <v>10740000</v>
          </cell>
        </row>
        <row r="36">
          <cell r="D36">
            <v>974763</v>
          </cell>
        </row>
        <row r="37">
          <cell r="D37">
            <v>8769066</v>
          </cell>
        </row>
        <row r="38">
          <cell r="D38">
            <v>750000</v>
          </cell>
        </row>
        <row r="39">
          <cell r="D39">
            <v>75778920</v>
          </cell>
        </row>
        <row r="49">
          <cell r="D49">
            <v>37226500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88"/>
  <sheetViews>
    <sheetView tabSelected="1" topLeftCell="B2" zoomScale="80" zoomScaleNormal="80" zoomScaleSheetLayoutView="124" workbookViewId="0">
      <pane xSplit="7" ySplit="7" topLeftCell="P9" activePane="bottomRight" state="frozen"/>
      <selection activeCell="B2" sqref="B2"/>
      <selection pane="topRight" activeCell="I2" sqref="I2"/>
      <selection pane="bottomLeft" activeCell="B9" sqref="B9"/>
      <selection pane="bottomRight" activeCell="V70" sqref="V70"/>
    </sheetView>
  </sheetViews>
  <sheetFormatPr defaultRowHeight="12.75" customHeight="1" x14ac:dyDescent="0.2"/>
  <cols>
    <col min="1" max="1" width="4" style="164" hidden="1" customWidth="1"/>
    <col min="2" max="2" width="33" style="56" customWidth="1"/>
    <col min="3" max="3" width="11.7109375" style="56" customWidth="1"/>
    <col min="4" max="4" width="11.42578125" style="56" customWidth="1"/>
    <col min="5" max="6" width="11.42578125" style="170" customWidth="1"/>
    <col min="7" max="7" width="10" style="56" customWidth="1"/>
    <col min="8" max="9" width="10.5703125" style="56" customWidth="1"/>
    <col min="10" max="10" width="12.28515625" style="56" customWidth="1"/>
    <col min="11" max="13" width="11.5703125" style="56" customWidth="1"/>
    <col min="14" max="14" width="18.5703125" style="56" customWidth="1"/>
    <col min="15" max="15" width="9" style="56" customWidth="1"/>
    <col min="16" max="17" width="11.140625" style="56" customWidth="1"/>
    <col min="18" max="18" width="9" style="56" customWidth="1"/>
    <col min="19" max="20" width="9.85546875" style="56" customWidth="1"/>
    <col min="21" max="23" width="9.140625" style="56" customWidth="1"/>
    <col min="24" max="24" width="12.7109375" style="56" customWidth="1"/>
    <col min="25" max="26" width="9" style="56" customWidth="1"/>
    <col min="27" max="28" width="12.28515625" style="165" customWidth="1"/>
    <col min="29" max="29" width="12.140625" style="165" customWidth="1"/>
    <col min="30" max="30" width="14.5703125" style="56" customWidth="1"/>
    <col min="31" max="33" width="12.42578125" style="56" customWidth="1"/>
    <col min="34" max="34" width="8.7109375" style="56" customWidth="1"/>
    <col min="35" max="35" width="9.5703125" style="56" customWidth="1"/>
    <col min="36" max="36" width="6.7109375" style="56" customWidth="1"/>
    <col min="37" max="37" width="13" style="4" customWidth="1"/>
    <col min="38" max="38" width="10.42578125" style="4" customWidth="1"/>
    <col min="39" max="39" width="12.85546875" style="4" bestFit="1" customWidth="1"/>
    <col min="40" max="40" width="10.42578125" style="4" customWidth="1"/>
    <col min="41" max="41" width="10.42578125" style="4" bestFit="1" customWidth="1"/>
    <col min="42" max="42" width="9.42578125" style="4" bestFit="1" customWidth="1"/>
    <col min="43" max="16384" width="9.140625" style="4"/>
  </cols>
  <sheetData>
    <row r="1" spans="1:110" ht="12.75" hidden="1" customHeight="1" x14ac:dyDescent="0.2">
      <c r="A1" s="1"/>
      <c r="B1" s="2"/>
      <c r="C1" s="2"/>
      <c r="D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2"/>
      <c r="AE1" s="2"/>
      <c r="AF1" s="2"/>
      <c r="AG1" s="2"/>
      <c r="AH1" s="256"/>
      <c r="AI1" s="256"/>
      <c r="AJ1" s="256"/>
    </row>
    <row r="2" spans="1:110" s="8" customFormat="1" ht="36" customHeight="1" thickBot="1" x14ac:dyDescent="0.25">
      <c r="A2" s="5" t="s">
        <v>0</v>
      </c>
      <c r="B2" s="246" t="s">
        <v>79</v>
      </c>
      <c r="C2" s="245" t="s">
        <v>69</v>
      </c>
      <c r="D2" s="245" t="s">
        <v>70</v>
      </c>
      <c r="E2" s="171"/>
      <c r="F2" s="171"/>
      <c r="G2" s="7" t="s">
        <v>1</v>
      </c>
      <c r="H2" s="7" t="s">
        <v>1</v>
      </c>
      <c r="I2" s="171"/>
      <c r="J2" s="171"/>
      <c r="K2" s="245" t="s">
        <v>85</v>
      </c>
      <c r="L2" s="245" t="s">
        <v>86</v>
      </c>
      <c r="M2" s="171"/>
      <c r="N2" s="171"/>
      <c r="O2" s="245" t="s">
        <v>87</v>
      </c>
      <c r="P2" s="245" t="s">
        <v>88</v>
      </c>
      <c r="Q2" s="171"/>
      <c r="R2" s="171"/>
      <c r="S2" s="261" t="s">
        <v>2</v>
      </c>
      <c r="T2" s="262"/>
      <c r="U2" s="262"/>
      <c r="V2" s="262"/>
      <c r="W2" s="262"/>
      <c r="X2" s="262"/>
      <c r="Y2" s="262"/>
      <c r="Z2" s="263"/>
      <c r="AA2" s="6" t="s">
        <v>3</v>
      </c>
      <c r="AB2" s="6"/>
      <c r="AC2" s="6"/>
      <c r="AD2" s="6" t="s">
        <v>4</v>
      </c>
      <c r="AE2" s="6" t="s">
        <v>4</v>
      </c>
      <c r="AF2" s="171"/>
      <c r="AG2" s="171"/>
      <c r="AH2" s="257" t="s">
        <v>5</v>
      </c>
      <c r="AI2" s="258"/>
      <c r="AJ2" s="259"/>
    </row>
    <row r="3" spans="1:110" s="8" customFormat="1" ht="37.5" customHeight="1" x14ac:dyDescent="0.2">
      <c r="A3" s="9" t="s">
        <v>6</v>
      </c>
      <c r="B3" s="247"/>
      <c r="C3" s="242"/>
      <c r="D3" s="242"/>
      <c r="E3" s="172" t="s">
        <v>72</v>
      </c>
      <c r="F3" s="172" t="s">
        <v>71</v>
      </c>
      <c r="G3" s="11" t="s">
        <v>80</v>
      </c>
      <c r="H3" s="12" t="s">
        <v>80</v>
      </c>
      <c r="I3" s="172" t="s">
        <v>72</v>
      </c>
      <c r="J3" s="172" t="s">
        <v>71</v>
      </c>
      <c r="K3" s="242"/>
      <c r="L3" s="242"/>
      <c r="M3" s="172" t="s">
        <v>72</v>
      </c>
      <c r="N3" s="172" t="s">
        <v>71</v>
      </c>
      <c r="O3" s="242"/>
      <c r="P3" s="242"/>
      <c r="Q3" s="172" t="s">
        <v>72</v>
      </c>
      <c r="R3" s="172" t="s">
        <v>71</v>
      </c>
      <c r="S3" s="260" t="s">
        <v>97</v>
      </c>
      <c r="T3" s="12" t="s">
        <v>7</v>
      </c>
      <c r="U3" s="242" t="s">
        <v>98</v>
      </c>
      <c r="V3" s="242" t="s">
        <v>99</v>
      </c>
      <c r="W3" s="171"/>
      <c r="X3" s="171"/>
      <c r="Y3" s="242" t="s">
        <v>103</v>
      </c>
      <c r="Z3" s="12"/>
      <c r="AA3" s="10" t="s">
        <v>9</v>
      </c>
      <c r="AB3" s="10"/>
      <c r="AC3" s="10"/>
      <c r="AD3" s="10" t="s">
        <v>10</v>
      </c>
      <c r="AE3" s="10" t="s">
        <v>10</v>
      </c>
      <c r="AF3" s="172" t="s">
        <v>72</v>
      </c>
      <c r="AG3" s="172" t="s">
        <v>71</v>
      </c>
      <c r="AH3" s="260" t="s">
        <v>7</v>
      </c>
      <c r="AI3" s="242" t="s">
        <v>8</v>
      </c>
      <c r="AJ3" s="242" t="s">
        <v>11</v>
      </c>
    </row>
    <row r="4" spans="1:110" s="8" customFormat="1" ht="57.75" customHeight="1" thickBot="1" x14ac:dyDescent="0.25">
      <c r="A4" s="13" t="s">
        <v>13</v>
      </c>
      <c r="B4" s="247"/>
      <c r="C4" s="244"/>
      <c r="D4" s="244"/>
      <c r="E4" s="173"/>
      <c r="F4" s="173"/>
      <c r="G4" s="15" t="s">
        <v>81</v>
      </c>
      <c r="H4" s="16" t="s">
        <v>84</v>
      </c>
      <c r="I4" s="173"/>
      <c r="J4" s="173"/>
      <c r="K4" s="244"/>
      <c r="L4" s="244"/>
      <c r="M4" s="173"/>
      <c r="N4" s="173"/>
      <c r="O4" s="244"/>
      <c r="P4" s="244"/>
      <c r="Q4" s="173"/>
      <c r="R4" s="173"/>
      <c r="S4" s="244"/>
      <c r="T4" s="16" t="s">
        <v>96</v>
      </c>
      <c r="U4" s="243"/>
      <c r="V4" s="243"/>
      <c r="W4" s="172" t="s">
        <v>72</v>
      </c>
      <c r="X4" s="172" t="s">
        <v>71</v>
      </c>
      <c r="Y4" s="244"/>
      <c r="Z4" s="16" t="s">
        <v>102</v>
      </c>
      <c r="AA4" s="14" t="s">
        <v>12</v>
      </c>
      <c r="AB4" s="14"/>
      <c r="AC4" s="14"/>
      <c r="AD4" s="16" t="s">
        <v>105</v>
      </c>
      <c r="AE4" s="16" t="s">
        <v>106</v>
      </c>
      <c r="AF4" s="173"/>
      <c r="AG4" s="173"/>
      <c r="AH4" s="244"/>
      <c r="AI4" s="243"/>
      <c r="AJ4" s="244"/>
    </row>
    <row r="5" spans="1:110" s="21" customFormat="1" ht="2.25" customHeight="1" thickBot="1" x14ac:dyDescent="0.25">
      <c r="A5" s="22"/>
      <c r="B5" s="248"/>
      <c r="C5" s="23"/>
      <c r="D5" s="23"/>
      <c r="E5" s="174"/>
      <c r="F5" s="174"/>
      <c r="G5" s="23"/>
      <c r="H5" s="23"/>
      <c r="I5" s="23"/>
      <c r="J5" s="23"/>
      <c r="K5" s="23"/>
      <c r="L5" s="23"/>
      <c r="M5" s="174"/>
      <c r="N5" s="174"/>
      <c r="O5" s="23"/>
      <c r="P5" s="23"/>
      <c r="Q5" s="23"/>
      <c r="R5" s="23"/>
      <c r="S5" s="23"/>
      <c r="T5" s="23"/>
      <c r="U5" s="23"/>
      <c r="V5" s="23"/>
      <c r="W5" s="173"/>
      <c r="X5" s="173"/>
      <c r="Y5" s="23"/>
      <c r="Z5" s="23"/>
      <c r="AA5" s="24"/>
      <c r="AB5" s="24"/>
      <c r="AC5" s="24"/>
      <c r="AD5" s="23"/>
      <c r="AE5" s="23"/>
      <c r="AF5" s="23"/>
      <c r="AG5" s="23"/>
      <c r="AH5" s="23"/>
      <c r="AI5" s="23"/>
      <c r="AJ5" s="23"/>
    </row>
    <row r="6" spans="1:110" ht="12" customHeight="1" thickBot="1" x14ac:dyDescent="0.25">
      <c r="A6" s="25">
        <v>1</v>
      </c>
      <c r="B6" s="26" t="s">
        <v>17</v>
      </c>
      <c r="C6" s="27">
        <f>C7+C8</f>
        <v>13555880</v>
      </c>
      <c r="D6" s="27">
        <f>D7+D8</f>
        <v>13555880</v>
      </c>
      <c r="E6" s="175">
        <f>D6-C6</f>
        <v>0</v>
      </c>
      <c r="F6" s="175"/>
      <c r="G6" s="27">
        <f t="shared" ref="G6:Z6" si="0">G7+G8</f>
        <v>2711176</v>
      </c>
      <c r="H6" s="27">
        <f t="shared" si="0"/>
        <v>2711176</v>
      </c>
      <c r="I6" s="175">
        <f>H6-G6</f>
        <v>0</v>
      </c>
      <c r="J6" s="175"/>
      <c r="K6" s="27">
        <f t="shared" si="0"/>
        <v>11280734</v>
      </c>
      <c r="L6" s="27">
        <f t="shared" si="0"/>
        <v>11280734</v>
      </c>
      <c r="M6" s="175">
        <f>L6-K6</f>
        <v>0</v>
      </c>
      <c r="N6" s="175"/>
      <c r="O6" s="27">
        <f t="shared" si="0"/>
        <v>0</v>
      </c>
      <c r="P6" s="27"/>
      <c r="Q6" s="175"/>
      <c r="R6" s="175"/>
      <c r="S6" s="27">
        <f t="shared" si="0"/>
        <v>0</v>
      </c>
      <c r="T6" s="27"/>
      <c r="U6" s="27">
        <f t="shared" si="0"/>
        <v>4789312</v>
      </c>
      <c r="V6" s="27">
        <f t="shared" si="0"/>
        <v>4860369</v>
      </c>
      <c r="W6" s="175">
        <f>V6-U6</f>
        <v>71057</v>
      </c>
      <c r="X6" s="175"/>
      <c r="Y6" s="27">
        <f t="shared" si="0"/>
        <v>500000</v>
      </c>
      <c r="Z6" s="27">
        <f t="shared" si="0"/>
        <v>1280012</v>
      </c>
      <c r="AA6" s="27">
        <f>AA7+AA8</f>
        <v>32837102</v>
      </c>
      <c r="AB6" s="27">
        <f>AB7+AB8</f>
        <v>33688171</v>
      </c>
      <c r="AC6" s="27">
        <f>SUM(D6:AA6)</f>
        <v>85877552</v>
      </c>
      <c r="AD6" s="27">
        <f>AD7+AD8</f>
        <v>0</v>
      </c>
      <c r="AE6" s="27"/>
      <c r="AF6" s="175"/>
      <c r="AG6" s="175"/>
      <c r="AH6" s="27">
        <f>AH10+AH12+AH62</f>
        <v>0</v>
      </c>
      <c r="AI6" s="27">
        <f>AI10+AI12+AI62</f>
        <v>0</v>
      </c>
      <c r="AJ6" s="27">
        <f>AJ10+AJ12+AJ62</f>
        <v>0</v>
      </c>
    </row>
    <row r="7" spans="1:110" ht="23.25" customHeight="1" thickBot="1" x14ac:dyDescent="0.25">
      <c r="A7" s="28"/>
      <c r="B7" s="29" t="s">
        <v>14</v>
      </c>
      <c r="C7" s="30">
        <f>C10+C13+C12+C17</f>
        <v>13555880</v>
      </c>
      <c r="D7" s="30">
        <f>D10+D13+D12+D17</f>
        <v>13555880</v>
      </c>
      <c r="E7" s="175">
        <f t="shared" ref="E7:E8" si="1">D7-C7</f>
        <v>0</v>
      </c>
      <c r="F7" s="182"/>
      <c r="G7" s="30">
        <f t="shared" ref="G7:Z7" si="2">G10+G13+G12+G17</f>
        <v>2711176</v>
      </c>
      <c r="H7" s="30">
        <f t="shared" si="2"/>
        <v>2711176</v>
      </c>
      <c r="I7" s="175">
        <f t="shared" ref="I7:I66" si="3">H7-G7</f>
        <v>0</v>
      </c>
      <c r="J7" s="182"/>
      <c r="K7" s="30">
        <f>K10+K13+K12+K17</f>
        <v>11280734</v>
      </c>
      <c r="L7" s="30">
        <f>L10+L13+L12+L17+L16</f>
        <v>11280734</v>
      </c>
      <c r="M7" s="175">
        <f t="shared" ref="M7:M66" si="4">L7-K7</f>
        <v>0</v>
      </c>
      <c r="N7" s="218" t="s">
        <v>89</v>
      </c>
      <c r="O7" s="30">
        <f t="shared" si="2"/>
        <v>0</v>
      </c>
      <c r="P7" s="30"/>
      <c r="Q7" s="182"/>
      <c r="R7" s="182"/>
      <c r="S7" s="30">
        <f t="shared" si="2"/>
        <v>0</v>
      </c>
      <c r="T7" s="30"/>
      <c r="U7" s="30">
        <f>U10+U13+U12+U17</f>
        <v>4789312</v>
      </c>
      <c r="V7" s="30">
        <f>V10+V13+V12+V17</f>
        <v>4860369</v>
      </c>
      <c r="W7" s="182">
        <f>V7-U7</f>
        <v>71057</v>
      </c>
      <c r="X7" s="182"/>
      <c r="Y7" s="30">
        <f t="shared" si="2"/>
        <v>500000</v>
      </c>
      <c r="Z7" s="30">
        <f>Z10+Z13+Z12+Z17+Z11</f>
        <v>1280012</v>
      </c>
      <c r="AA7" s="31">
        <f>C7+G7+K7+O7+S7+U7+Y7</f>
        <v>32837102</v>
      </c>
      <c r="AB7" s="31">
        <f>D7+H7+L7+P7+T7+V7+Z7</f>
        <v>33688171</v>
      </c>
      <c r="AC7" s="31">
        <f>SUM(D7:AA7)</f>
        <v>85877552</v>
      </c>
      <c r="AD7" s="30">
        <v>0</v>
      </c>
      <c r="AE7" s="30">
        <v>500000</v>
      </c>
      <c r="AF7" s="182">
        <f>AE7-AD7</f>
        <v>500000</v>
      </c>
      <c r="AG7" s="230" t="s">
        <v>107</v>
      </c>
      <c r="AH7" s="30"/>
      <c r="AI7" s="30"/>
      <c r="AJ7" s="30"/>
    </row>
    <row r="8" spans="1:110" ht="13.5" customHeight="1" thickBot="1" x14ac:dyDescent="0.25">
      <c r="A8" s="32"/>
      <c r="B8" s="33" t="s">
        <v>15</v>
      </c>
      <c r="C8" s="34"/>
      <c r="D8" s="34"/>
      <c r="E8" s="175">
        <f t="shared" si="1"/>
        <v>0</v>
      </c>
      <c r="F8" s="183"/>
      <c r="G8" s="35"/>
      <c r="H8" s="35"/>
      <c r="I8" s="175">
        <f t="shared" si="3"/>
        <v>0</v>
      </c>
      <c r="J8" s="183"/>
      <c r="K8" s="35"/>
      <c r="L8" s="35"/>
      <c r="M8" s="175">
        <f t="shared" si="4"/>
        <v>0</v>
      </c>
      <c r="N8" s="183"/>
      <c r="O8" s="35"/>
      <c r="P8" s="35"/>
      <c r="Q8" s="183"/>
      <c r="R8" s="183"/>
      <c r="S8" s="35"/>
      <c r="T8" s="35"/>
      <c r="U8" s="35"/>
      <c r="V8" s="35"/>
      <c r="W8" s="183"/>
      <c r="X8" s="183"/>
      <c r="Y8" s="35"/>
      <c r="Z8" s="35"/>
      <c r="AA8" s="31">
        <f>C8+G8+K8+O8+S8+U8+Y8</f>
        <v>0</v>
      </c>
      <c r="AB8" s="31">
        <f t="shared" ref="AB8:AB66" si="5">D8+H8+L8+P8+T8+V8+Z8</f>
        <v>0</v>
      </c>
      <c r="AC8" s="35"/>
      <c r="AD8" s="35"/>
      <c r="AE8" s="35"/>
      <c r="AF8" s="183"/>
      <c r="AG8" s="183"/>
      <c r="AH8" s="35"/>
      <c r="AI8" s="35"/>
      <c r="AJ8" s="35"/>
    </row>
    <row r="9" spans="1:110" s="38" customFormat="1" ht="28.5" customHeight="1" thickBot="1" x14ac:dyDescent="0.2">
      <c r="A9" s="36"/>
      <c r="B9" s="169" t="s">
        <v>18</v>
      </c>
      <c r="C9" s="37"/>
      <c r="D9" s="37"/>
      <c r="E9" s="176"/>
      <c r="F9" s="176"/>
      <c r="G9" s="37"/>
      <c r="H9" s="37"/>
      <c r="I9" s="175">
        <f t="shared" si="3"/>
        <v>0</v>
      </c>
      <c r="J9" s="176"/>
      <c r="K9" s="37"/>
      <c r="L9" s="37"/>
      <c r="M9" s="175">
        <f t="shared" si="4"/>
        <v>0</v>
      </c>
      <c r="N9" s="176"/>
      <c r="O9" s="37"/>
      <c r="P9" s="37"/>
      <c r="Q9" s="176"/>
      <c r="R9" s="176"/>
      <c r="S9" s="37"/>
      <c r="T9" s="37"/>
      <c r="U9" s="37"/>
      <c r="V9" s="37"/>
      <c r="W9" s="176"/>
      <c r="X9" s="176"/>
      <c r="Y9" s="37"/>
      <c r="Z9" s="37"/>
      <c r="AA9" s="31">
        <f t="shared" ref="AA9:AB66" si="6">C9+G9+K9+O9+S9+U9+Y9</f>
        <v>0</v>
      </c>
      <c r="AB9" s="31">
        <f t="shared" si="5"/>
        <v>0</v>
      </c>
      <c r="AC9" s="37"/>
      <c r="AD9" s="37"/>
      <c r="AE9" s="37"/>
      <c r="AF9" s="176"/>
      <c r="AG9" s="176"/>
      <c r="AH9" s="37"/>
      <c r="AI9" s="37"/>
      <c r="AJ9" s="3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1.25" customHeight="1" thickBot="1" x14ac:dyDescent="0.25">
      <c r="A10" s="39"/>
      <c r="B10" s="40" t="s">
        <v>14</v>
      </c>
      <c r="C10" s="41">
        <v>13555880</v>
      </c>
      <c r="D10" s="41">
        <v>13555880</v>
      </c>
      <c r="E10" s="177">
        <f>D10-C10</f>
        <v>0</v>
      </c>
      <c r="F10" s="177"/>
      <c r="G10" s="41">
        <f>C10*20%</f>
        <v>2711176</v>
      </c>
      <c r="H10" s="41">
        <f>D10*20%</f>
        <v>2711176</v>
      </c>
      <c r="I10" s="175">
        <f t="shared" si="3"/>
        <v>0</v>
      </c>
      <c r="J10" s="177"/>
      <c r="K10" s="42">
        <f>10207252+3000000-1916518-10000</f>
        <v>11280734</v>
      </c>
      <c r="L10" s="42">
        <f>10207252+3000000-1916518-10000</f>
        <v>11280734</v>
      </c>
      <c r="M10" s="175">
        <f t="shared" si="4"/>
        <v>0</v>
      </c>
      <c r="N10" s="177"/>
      <c r="O10" s="41"/>
      <c r="P10" s="41"/>
      <c r="Q10" s="177"/>
      <c r="R10" s="177"/>
      <c r="S10" s="43"/>
      <c r="T10" s="43"/>
      <c r="U10" s="43"/>
      <c r="V10" s="43"/>
      <c r="W10" s="196"/>
      <c r="X10" s="196"/>
      <c r="Y10" s="43"/>
      <c r="Z10" s="43"/>
      <c r="AA10" s="31">
        <f t="shared" si="6"/>
        <v>27547790</v>
      </c>
      <c r="AB10" s="31">
        <f t="shared" si="5"/>
        <v>27547790</v>
      </c>
      <c r="AC10" s="17"/>
      <c r="AD10" s="44">
        <v>0</v>
      </c>
      <c r="AE10" s="44"/>
      <c r="AF10" s="196">
        <f>AE10-AD10</f>
        <v>0</v>
      </c>
      <c r="AG10" s="196"/>
      <c r="AH10" s="43"/>
      <c r="AI10" s="43"/>
      <c r="AJ10" s="43"/>
    </row>
    <row r="11" spans="1:110" ht="12.75" customHeight="1" thickBot="1" x14ac:dyDescent="0.25">
      <c r="A11" s="36"/>
      <c r="B11" s="46" t="s">
        <v>15</v>
      </c>
      <c r="C11" s="47">
        <v>0</v>
      </c>
      <c r="D11" s="47"/>
      <c r="E11" s="177">
        <f t="shared" ref="E11:E26" si="7">D11-C11</f>
        <v>0</v>
      </c>
      <c r="F11" s="177"/>
      <c r="G11" s="47">
        <v>0</v>
      </c>
      <c r="H11" s="47"/>
      <c r="I11" s="175">
        <f t="shared" si="3"/>
        <v>0</v>
      </c>
      <c r="J11" s="190"/>
      <c r="K11" s="47"/>
      <c r="L11" s="47"/>
      <c r="M11" s="175">
        <f t="shared" si="4"/>
        <v>0</v>
      </c>
      <c r="N11" s="190"/>
      <c r="O11" s="47"/>
      <c r="P11" s="47"/>
      <c r="Q11" s="190"/>
      <c r="R11" s="190"/>
      <c r="S11" s="48"/>
      <c r="T11" s="48"/>
      <c r="U11" s="48"/>
      <c r="V11" s="48"/>
      <c r="W11" s="191"/>
      <c r="X11" s="191"/>
      <c r="Y11" s="48"/>
      <c r="Z11" s="48">
        <v>780012</v>
      </c>
      <c r="AA11" s="31">
        <f t="shared" si="6"/>
        <v>0</v>
      </c>
      <c r="AB11" s="31">
        <f t="shared" si="5"/>
        <v>780012</v>
      </c>
      <c r="AC11" s="18"/>
      <c r="AD11" s="48"/>
      <c r="AE11" s="48"/>
      <c r="AF11" s="196">
        <f t="shared" ref="AF11:AF65" si="8">AE11-AD11</f>
        <v>0</v>
      </c>
      <c r="AG11" s="191"/>
      <c r="AH11" s="48"/>
      <c r="AI11" s="48"/>
      <c r="AJ11" s="48"/>
    </row>
    <row r="12" spans="1:110" ht="9" customHeight="1" thickBot="1" x14ac:dyDescent="0.25">
      <c r="A12" s="36"/>
      <c r="B12" s="49" t="s">
        <v>19</v>
      </c>
      <c r="C12" s="50">
        <v>0</v>
      </c>
      <c r="D12" s="50"/>
      <c r="E12" s="177">
        <f t="shared" si="7"/>
        <v>0</v>
      </c>
      <c r="F12" s="177"/>
      <c r="G12" s="50"/>
      <c r="H12" s="50"/>
      <c r="I12" s="175">
        <f t="shared" si="3"/>
        <v>0</v>
      </c>
      <c r="J12" s="191"/>
      <c r="K12" s="51"/>
      <c r="L12" s="51"/>
      <c r="M12" s="175">
        <f t="shared" si="4"/>
        <v>0</v>
      </c>
      <c r="N12" s="206"/>
      <c r="O12" s="51"/>
      <c r="P12" s="51"/>
      <c r="Q12" s="206"/>
      <c r="R12" s="206"/>
      <c r="S12" s="50"/>
      <c r="T12" s="50"/>
      <c r="U12" s="50"/>
      <c r="V12" s="50"/>
      <c r="W12" s="191"/>
      <c r="X12" s="191"/>
      <c r="Y12" s="50">
        <f>500000</f>
        <v>500000</v>
      </c>
      <c r="Z12" s="50">
        <v>500000</v>
      </c>
      <c r="AA12" s="31">
        <f t="shared" si="6"/>
        <v>500000</v>
      </c>
      <c r="AB12" s="31">
        <f t="shared" si="5"/>
        <v>500000</v>
      </c>
      <c r="AC12" s="52"/>
      <c r="AD12" s="50"/>
      <c r="AE12" s="50"/>
      <c r="AF12" s="196">
        <f t="shared" si="8"/>
        <v>0</v>
      </c>
      <c r="AG12" s="191"/>
      <c r="AH12" s="50"/>
      <c r="AI12" s="50"/>
      <c r="AJ12" s="50"/>
    </row>
    <row r="13" spans="1:110" ht="9" customHeight="1" thickBot="1" x14ac:dyDescent="0.25">
      <c r="A13" s="36"/>
      <c r="B13" s="49" t="s">
        <v>20</v>
      </c>
      <c r="C13" s="53">
        <f>SUM(C14:C16)</f>
        <v>0</v>
      </c>
      <c r="D13" s="53"/>
      <c r="E13" s="177">
        <f t="shared" si="7"/>
        <v>0</v>
      </c>
      <c r="F13" s="190"/>
      <c r="G13" s="53"/>
      <c r="H13" s="53"/>
      <c r="I13" s="175">
        <f t="shared" si="3"/>
        <v>0</v>
      </c>
      <c r="J13" s="192"/>
      <c r="K13" s="53">
        <v>0</v>
      </c>
      <c r="L13" s="53"/>
      <c r="M13" s="175">
        <f t="shared" si="4"/>
        <v>0</v>
      </c>
      <c r="N13" s="192"/>
      <c r="O13" s="53">
        <f t="shared" ref="O13:S13" si="9">SUM(O14:O16)</f>
        <v>0</v>
      </c>
      <c r="P13" s="53"/>
      <c r="Q13" s="192"/>
      <c r="R13" s="192"/>
      <c r="S13" s="53">
        <f t="shared" si="9"/>
        <v>0</v>
      </c>
      <c r="T13" s="53"/>
      <c r="U13" s="53">
        <f>SUM(U14+U15+U16)</f>
        <v>1789312</v>
      </c>
      <c r="V13" s="53">
        <f>SUM(V14+V15+V16)</f>
        <v>1789312</v>
      </c>
      <c r="W13" s="192"/>
      <c r="X13" s="192"/>
      <c r="Y13" s="53"/>
      <c r="Z13" s="53"/>
      <c r="AA13" s="31">
        <f t="shared" si="6"/>
        <v>1789312</v>
      </c>
      <c r="AB13" s="31">
        <f t="shared" si="5"/>
        <v>1789312</v>
      </c>
      <c r="AC13" s="58"/>
      <c r="AD13" s="53"/>
      <c r="AE13" s="53"/>
      <c r="AF13" s="196">
        <f t="shared" si="8"/>
        <v>0</v>
      </c>
      <c r="AG13" s="192"/>
      <c r="AH13" s="53"/>
      <c r="AI13" s="53"/>
      <c r="AJ13" s="53"/>
    </row>
    <row r="14" spans="1:110" ht="9" customHeight="1" thickBot="1" x14ac:dyDescent="0.25">
      <c r="A14" s="45"/>
      <c r="B14" s="54" t="s">
        <v>21</v>
      </c>
      <c r="C14" s="53"/>
      <c r="D14" s="53"/>
      <c r="E14" s="177">
        <f t="shared" si="7"/>
        <v>0</v>
      </c>
      <c r="F14" s="190"/>
      <c r="G14" s="53"/>
      <c r="H14" s="53"/>
      <c r="I14" s="175">
        <f t="shared" si="3"/>
        <v>0</v>
      </c>
      <c r="J14" s="192"/>
      <c r="K14" s="55"/>
      <c r="L14" s="55"/>
      <c r="M14" s="175">
        <f t="shared" si="4"/>
        <v>0</v>
      </c>
      <c r="N14" s="207"/>
      <c r="O14" s="55"/>
      <c r="P14" s="55"/>
      <c r="Q14" s="207"/>
      <c r="R14" s="207"/>
      <c r="S14" s="50">
        <v>0</v>
      </c>
      <c r="T14" s="53"/>
      <c r="U14" s="53">
        <v>250000</v>
      </c>
      <c r="V14" s="53">
        <v>250000</v>
      </c>
      <c r="W14" s="192"/>
      <c r="X14" s="192"/>
      <c r="Y14" s="53"/>
      <c r="Z14" s="53"/>
      <c r="AA14" s="31">
        <f t="shared" si="6"/>
        <v>250000</v>
      </c>
      <c r="AB14" s="31">
        <f t="shared" si="5"/>
        <v>250000</v>
      </c>
      <c r="AC14" s="58"/>
      <c r="AD14" s="53"/>
      <c r="AE14" s="53"/>
      <c r="AF14" s="196">
        <f t="shared" si="8"/>
        <v>0</v>
      </c>
      <c r="AG14" s="192"/>
      <c r="AH14" s="53"/>
      <c r="AI14" s="53"/>
      <c r="AJ14" s="53"/>
    </row>
    <row r="15" spans="1:110" ht="9" customHeight="1" thickBot="1" x14ac:dyDescent="0.25">
      <c r="A15" s="45"/>
      <c r="B15" s="54" t="s">
        <v>22</v>
      </c>
      <c r="C15" s="53"/>
      <c r="D15" s="53"/>
      <c r="E15" s="177">
        <f t="shared" si="7"/>
        <v>0</v>
      </c>
      <c r="F15" s="190"/>
      <c r="G15" s="53"/>
      <c r="H15" s="53"/>
      <c r="I15" s="175">
        <f t="shared" si="3"/>
        <v>0</v>
      </c>
      <c r="J15" s="192"/>
      <c r="K15" s="55"/>
      <c r="L15" s="55"/>
      <c r="M15" s="175">
        <f t="shared" si="4"/>
        <v>0</v>
      </c>
      <c r="N15" s="207"/>
      <c r="O15" s="55"/>
      <c r="P15" s="166"/>
      <c r="Q15" s="223"/>
      <c r="R15" s="223"/>
      <c r="U15" s="53">
        <f>110176*12+217200</f>
        <v>1539312</v>
      </c>
      <c r="V15" s="53">
        <f>110176*12+217200</f>
        <v>1539312</v>
      </c>
      <c r="W15" s="192"/>
      <c r="X15" s="192"/>
      <c r="Y15" s="53"/>
      <c r="Z15" s="53"/>
      <c r="AA15" s="31">
        <f t="shared" si="6"/>
        <v>1539312</v>
      </c>
      <c r="AB15" s="31">
        <f t="shared" si="5"/>
        <v>1539312</v>
      </c>
      <c r="AC15" s="58"/>
      <c r="AD15" s="53"/>
      <c r="AE15" s="53"/>
      <c r="AF15" s="196">
        <f t="shared" si="8"/>
        <v>0</v>
      </c>
      <c r="AG15" s="192"/>
      <c r="AH15" s="53"/>
      <c r="AI15" s="53"/>
      <c r="AJ15" s="53"/>
    </row>
    <row r="16" spans="1:110" ht="13.5" customHeight="1" thickBot="1" x14ac:dyDescent="0.25">
      <c r="A16" s="45"/>
      <c r="B16" s="54" t="s">
        <v>23</v>
      </c>
      <c r="C16" s="53"/>
      <c r="D16" s="53"/>
      <c r="E16" s="177">
        <f t="shared" si="7"/>
        <v>0</v>
      </c>
      <c r="F16" s="190"/>
      <c r="G16" s="53"/>
      <c r="H16" s="53"/>
      <c r="I16" s="175">
        <f t="shared" si="3"/>
        <v>0</v>
      </c>
      <c r="J16" s="192"/>
      <c r="K16" s="55">
        <f>2253225-56981</f>
        <v>2196244</v>
      </c>
      <c r="L16" s="55">
        <v>0</v>
      </c>
      <c r="M16" s="175">
        <f t="shared" si="4"/>
        <v>-2196244</v>
      </c>
      <c r="N16" s="207" t="s">
        <v>112</v>
      </c>
      <c r="O16" s="55"/>
      <c r="P16" s="55"/>
      <c r="Q16" s="207"/>
      <c r="R16" s="207"/>
      <c r="S16" s="53"/>
      <c r="T16" s="53"/>
      <c r="U16" s="53"/>
      <c r="V16" s="53"/>
      <c r="W16" s="192"/>
      <c r="X16" s="192"/>
      <c r="Y16" s="53"/>
      <c r="Z16" s="53"/>
      <c r="AA16" s="31">
        <f t="shared" si="6"/>
        <v>2196244</v>
      </c>
      <c r="AB16" s="31">
        <f t="shared" si="5"/>
        <v>0</v>
      </c>
      <c r="AC16" s="58"/>
      <c r="AD16" s="53"/>
      <c r="AE16" s="53"/>
      <c r="AF16" s="196">
        <f t="shared" si="8"/>
        <v>0</v>
      </c>
      <c r="AG16" s="192"/>
      <c r="AH16" s="53"/>
      <c r="AI16" s="53"/>
      <c r="AJ16" s="53"/>
    </row>
    <row r="17" spans="1:36" ht="10.5" customHeight="1" thickBot="1" x14ac:dyDescent="0.25">
      <c r="A17" s="45"/>
      <c r="B17" s="57" t="s">
        <v>24</v>
      </c>
      <c r="C17" s="53"/>
      <c r="D17" s="53"/>
      <c r="E17" s="177">
        <f t="shared" si="7"/>
        <v>0</v>
      </c>
      <c r="F17" s="190"/>
      <c r="G17" s="53"/>
      <c r="H17" s="53"/>
      <c r="I17" s="175">
        <f t="shared" si="3"/>
        <v>0</v>
      </c>
      <c r="J17" s="192"/>
      <c r="K17" s="55"/>
      <c r="L17" s="55"/>
      <c r="M17" s="175">
        <f t="shared" si="4"/>
        <v>0</v>
      </c>
      <c r="N17" s="221"/>
      <c r="O17" s="55"/>
      <c r="P17" s="55"/>
      <c r="Q17" s="207"/>
      <c r="R17" s="207"/>
      <c r="S17" s="53"/>
      <c r="T17" s="53"/>
      <c r="U17" s="53">
        <f>3000000</f>
        <v>3000000</v>
      </c>
      <c r="V17" s="53">
        <f>3000000+71057</f>
        <v>3071057</v>
      </c>
      <c r="W17" s="192">
        <f>V17-U17</f>
        <v>71057</v>
      </c>
      <c r="X17" s="192" t="s">
        <v>101</v>
      </c>
      <c r="Y17" s="53"/>
      <c r="Z17" s="53"/>
      <c r="AA17" s="31">
        <f t="shared" si="6"/>
        <v>3000000</v>
      </c>
      <c r="AB17" s="31">
        <f t="shared" si="5"/>
        <v>3071057</v>
      </c>
      <c r="AC17" s="58"/>
      <c r="AD17" s="53"/>
      <c r="AE17" s="53"/>
      <c r="AF17" s="196">
        <f t="shared" si="8"/>
        <v>0</v>
      </c>
      <c r="AG17" s="192"/>
      <c r="AH17" s="53"/>
      <c r="AI17" s="53"/>
      <c r="AJ17" s="53"/>
    </row>
    <row r="18" spans="1:36" ht="36.75" customHeight="1" thickBot="1" x14ac:dyDescent="0.25">
      <c r="A18" s="45">
        <v>2</v>
      </c>
      <c r="B18" s="59" t="s">
        <v>25</v>
      </c>
      <c r="C18" s="60">
        <f>(240000+240000)*12+(195000*6)</f>
        <v>6930000</v>
      </c>
      <c r="D18" s="60">
        <f>(240000+240000)*12+(195000*6)</f>
        <v>6930000</v>
      </c>
      <c r="E18" s="177">
        <f t="shared" si="7"/>
        <v>0</v>
      </c>
      <c r="F18" s="190"/>
      <c r="G18" s="60">
        <f>C18*20%</f>
        <v>1386000</v>
      </c>
      <c r="H18" s="60">
        <f>D18*20%</f>
        <v>1386000</v>
      </c>
      <c r="I18" s="175">
        <f t="shared" si="3"/>
        <v>0</v>
      </c>
      <c r="J18" s="193"/>
      <c r="K18" s="61">
        <v>1000000</v>
      </c>
      <c r="L18" s="61">
        <v>1000000</v>
      </c>
      <c r="M18" s="175">
        <f t="shared" si="4"/>
        <v>0</v>
      </c>
      <c r="N18" s="208"/>
      <c r="O18" s="61"/>
      <c r="P18" s="61"/>
      <c r="Q18" s="208"/>
      <c r="R18" s="208"/>
      <c r="S18" s="60"/>
      <c r="T18" s="60"/>
      <c r="U18" s="60"/>
      <c r="V18" s="60"/>
      <c r="W18" s="193"/>
      <c r="X18" s="193"/>
      <c r="Y18" s="60"/>
      <c r="Z18" s="60"/>
      <c r="AA18" s="31">
        <f t="shared" si="6"/>
        <v>9316000</v>
      </c>
      <c r="AB18" s="31">
        <f t="shared" si="5"/>
        <v>9316000</v>
      </c>
      <c r="AC18" s="62"/>
      <c r="AD18" s="60">
        <v>0</v>
      </c>
      <c r="AE18" s="60">
        <v>750000</v>
      </c>
      <c r="AF18" s="196">
        <f t="shared" si="8"/>
        <v>750000</v>
      </c>
      <c r="AG18" s="230" t="s">
        <v>107</v>
      </c>
      <c r="AH18" s="60"/>
      <c r="AI18" s="60"/>
      <c r="AJ18" s="60"/>
    </row>
    <row r="19" spans="1:36" ht="13.5" thickBot="1" x14ac:dyDescent="0.25">
      <c r="A19" s="36">
        <v>3</v>
      </c>
      <c r="B19" s="63" t="s">
        <v>26</v>
      </c>
      <c r="C19" s="60"/>
      <c r="D19" s="60"/>
      <c r="E19" s="177">
        <f>D19-C19</f>
        <v>0</v>
      </c>
      <c r="F19" s="190"/>
      <c r="G19" s="60"/>
      <c r="H19" s="60"/>
      <c r="I19" s="175">
        <f t="shared" si="3"/>
        <v>0</v>
      </c>
      <c r="J19" s="193"/>
      <c r="K19" s="61">
        <f>600000</f>
        <v>600000</v>
      </c>
      <c r="L19" s="61">
        <f>600000</f>
        <v>600000</v>
      </c>
      <c r="M19" s="175">
        <f t="shared" si="4"/>
        <v>0</v>
      </c>
      <c r="N19" s="208"/>
      <c r="O19" s="61"/>
      <c r="P19" s="61"/>
      <c r="Q19" s="208"/>
      <c r="R19" s="208"/>
      <c r="S19" s="60"/>
      <c r="T19" s="60"/>
      <c r="U19" s="60"/>
      <c r="V19" s="60"/>
      <c r="W19" s="193"/>
      <c r="X19" s="193"/>
      <c r="Y19" s="60"/>
      <c r="Z19" s="60"/>
      <c r="AA19" s="31">
        <f t="shared" si="6"/>
        <v>600000</v>
      </c>
      <c r="AB19" s="31">
        <f t="shared" si="5"/>
        <v>600000</v>
      </c>
      <c r="AC19" s="62"/>
      <c r="AD19" s="64">
        <v>0</v>
      </c>
      <c r="AE19" s="64"/>
      <c r="AF19" s="196">
        <f t="shared" si="8"/>
        <v>0</v>
      </c>
      <c r="AG19" s="193"/>
      <c r="AH19" s="60"/>
      <c r="AI19" s="60"/>
      <c r="AJ19" s="60"/>
    </row>
    <row r="20" spans="1:36" s="71" customFormat="1" ht="57.75" customHeight="1" thickBot="1" x14ac:dyDescent="0.25">
      <c r="A20" s="65">
        <v>4</v>
      </c>
      <c r="B20" s="66" t="s">
        <v>27</v>
      </c>
      <c r="C20" s="67"/>
      <c r="D20" s="67"/>
      <c r="E20" s="177">
        <f t="shared" si="7"/>
        <v>0</v>
      </c>
      <c r="F20" s="190"/>
      <c r="G20" s="67"/>
      <c r="H20" s="67"/>
      <c r="I20" s="175">
        <f t="shared" si="3"/>
        <v>0</v>
      </c>
      <c r="J20" s="194"/>
      <c r="K20" s="68">
        <f>348000</f>
        <v>348000</v>
      </c>
      <c r="L20" s="68">
        <v>221000</v>
      </c>
      <c r="M20" s="175">
        <f t="shared" si="4"/>
        <v>-127000</v>
      </c>
      <c r="N20" s="220" t="s">
        <v>90</v>
      </c>
      <c r="O20" s="68"/>
      <c r="P20" s="68"/>
      <c r="Q20" s="209"/>
      <c r="R20" s="209"/>
      <c r="S20" s="67"/>
      <c r="T20" s="67"/>
      <c r="U20" s="67"/>
      <c r="V20" s="67"/>
      <c r="W20" s="194"/>
      <c r="X20" s="194"/>
      <c r="Y20" s="67"/>
      <c r="Z20" s="67"/>
      <c r="AA20" s="31">
        <f t="shared" si="6"/>
        <v>348000</v>
      </c>
      <c r="AB20" s="31">
        <f t="shared" si="5"/>
        <v>221000</v>
      </c>
      <c r="AC20" s="69"/>
      <c r="AD20" s="70"/>
      <c r="AE20" s="70"/>
      <c r="AF20" s="196">
        <f t="shared" si="8"/>
        <v>0</v>
      </c>
      <c r="AG20" s="194"/>
      <c r="AH20" s="67"/>
      <c r="AI20" s="67"/>
      <c r="AJ20" s="67"/>
    </row>
    <row r="21" spans="1:36" ht="12" customHeight="1" thickBot="1" x14ac:dyDescent="0.25">
      <c r="A21" s="36">
        <v>5</v>
      </c>
      <c r="B21" s="66" t="s">
        <v>28</v>
      </c>
      <c r="C21" s="67"/>
      <c r="D21" s="67"/>
      <c r="E21" s="177">
        <f t="shared" si="7"/>
        <v>0</v>
      </c>
      <c r="F21" s="190"/>
      <c r="G21" s="67"/>
      <c r="H21" s="67"/>
      <c r="I21" s="175">
        <f t="shared" si="3"/>
        <v>0</v>
      </c>
      <c r="J21" s="194"/>
      <c r="K21" s="68">
        <f>4000000</f>
        <v>4000000</v>
      </c>
      <c r="L21" s="68">
        <f>4000000</f>
        <v>4000000</v>
      </c>
      <c r="M21" s="175">
        <f t="shared" si="4"/>
        <v>0</v>
      </c>
      <c r="N21" s="209"/>
      <c r="O21" s="68"/>
      <c r="P21" s="68"/>
      <c r="Q21" s="209"/>
      <c r="R21" s="209"/>
      <c r="S21" s="67"/>
      <c r="T21" s="67"/>
      <c r="U21" s="67"/>
      <c r="V21" s="67"/>
      <c r="W21" s="194"/>
      <c r="X21" s="194"/>
      <c r="Y21" s="67"/>
      <c r="Z21" s="67"/>
      <c r="AA21" s="31">
        <f t="shared" si="6"/>
        <v>4000000</v>
      </c>
      <c r="AB21" s="31">
        <f t="shared" si="5"/>
        <v>4000000</v>
      </c>
      <c r="AC21" s="69"/>
      <c r="AD21" s="70"/>
      <c r="AE21" s="70"/>
      <c r="AF21" s="196">
        <f t="shared" si="8"/>
        <v>0</v>
      </c>
      <c r="AG21" s="194"/>
      <c r="AH21" s="67"/>
      <c r="AI21" s="67"/>
      <c r="AJ21" s="67"/>
    </row>
    <row r="22" spans="1:36" ht="42" customHeight="1" thickBot="1" x14ac:dyDescent="0.2">
      <c r="A22" s="45">
        <v>6</v>
      </c>
      <c r="B22" s="72" t="s">
        <v>29</v>
      </c>
      <c r="C22" s="67"/>
      <c r="D22" s="67">
        <v>570500</v>
      </c>
      <c r="E22" s="177">
        <f t="shared" si="7"/>
        <v>570500</v>
      </c>
      <c r="F22" s="190" t="s">
        <v>113</v>
      </c>
      <c r="G22" s="67"/>
      <c r="H22" s="67">
        <v>121806</v>
      </c>
      <c r="I22" s="175">
        <f t="shared" si="3"/>
        <v>121806</v>
      </c>
      <c r="J22" s="194" t="s">
        <v>114</v>
      </c>
      <c r="K22" s="68">
        <f>5000000</f>
        <v>5000000</v>
      </c>
      <c r="L22" s="68">
        <v>8000000</v>
      </c>
      <c r="M22" s="175">
        <f t="shared" si="4"/>
        <v>3000000</v>
      </c>
      <c r="N22" s="220" t="s">
        <v>73</v>
      </c>
      <c r="O22" s="68"/>
      <c r="P22" s="68"/>
      <c r="Q22" s="209"/>
      <c r="R22" s="209"/>
      <c r="S22" s="67"/>
      <c r="T22" s="67"/>
      <c r="U22" s="67"/>
      <c r="V22" s="67"/>
      <c r="W22" s="194"/>
      <c r="X22" s="194"/>
      <c r="Y22" s="67"/>
      <c r="Z22" s="67"/>
      <c r="AA22" s="31">
        <f t="shared" si="6"/>
        <v>5000000</v>
      </c>
      <c r="AB22" s="31">
        <f t="shared" si="5"/>
        <v>8692306</v>
      </c>
      <c r="AC22" s="69"/>
      <c r="AD22" s="67">
        <v>250000</v>
      </c>
      <c r="AE22" s="67">
        <v>380000</v>
      </c>
      <c r="AF22" s="196">
        <f t="shared" si="8"/>
        <v>130000</v>
      </c>
      <c r="AG22" s="231" t="s">
        <v>73</v>
      </c>
      <c r="AH22" s="67"/>
      <c r="AI22" s="67"/>
      <c r="AJ22" s="67"/>
    </row>
    <row r="23" spans="1:36" ht="14.25" customHeight="1" thickBot="1" x14ac:dyDescent="0.25">
      <c r="A23" s="36">
        <v>7</v>
      </c>
      <c r="B23" s="73" t="s">
        <v>30</v>
      </c>
      <c r="C23" s="67"/>
      <c r="D23" s="67"/>
      <c r="E23" s="177">
        <f t="shared" si="7"/>
        <v>0</v>
      </c>
      <c r="F23" s="190"/>
      <c r="G23" s="67"/>
      <c r="H23" s="67"/>
      <c r="I23" s="175">
        <f t="shared" si="3"/>
        <v>0</v>
      </c>
      <c r="J23" s="194"/>
      <c r="K23" s="68">
        <f>4000000</f>
        <v>4000000</v>
      </c>
      <c r="L23" s="68">
        <f>4000000</f>
        <v>4000000</v>
      </c>
      <c r="M23" s="175">
        <f t="shared" si="4"/>
        <v>0</v>
      </c>
      <c r="N23" s="219"/>
      <c r="O23" s="68"/>
      <c r="P23" s="68"/>
      <c r="Q23" s="209"/>
      <c r="R23" s="209"/>
      <c r="S23" s="67"/>
      <c r="T23" s="67"/>
      <c r="U23" s="67"/>
      <c r="V23" s="67"/>
      <c r="W23" s="194"/>
      <c r="X23" s="194"/>
      <c r="Y23" s="67"/>
      <c r="Z23" s="67"/>
      <c r="AA23" s="31">
        <f t="shared" si="6"/>
        <v>4000000</v>
      </c>
      <c r="AB23" s="31">
        <f t="shared" si="5"/>
        <v>4000000</v>
      </c>
      <c r="AC23" s="69"/>
      <c r="AD23" s="70">
        <v>4800000</v>
      </c>
      <c r="AE23" s="70">
        <f>4800000+2709006</f>
        <v>7509006</v>
      </c>
      <c r="AF23" s="196">
        <f t="shared" si="8"/>
        <v>2709006</v>
      </c>
      <c r="AG23" s="194" t="s">
        <v>116</v>
      </c>
      <c r="AH23" s="67"/>
      <c r="AI23" s="67"/>
      <c r="AJ23" s="67"/>
    </row>
    <row r="24" spans="1:36" ht="14.25" customHeight="1" thickBot="1" x14ac:dyDescent="0.25">
      <c r="A24" s="36"/>
      <c r="B24" s="63" t="s">
        <v>31</v>
      </c>
      <c r="C24" s="60"/>
      <c r="D24" s="60"/>
      <c r="E24" s="177">
        <f t="shared" si="7"/>
        <v>0</v>
      </c>
      <c r="F24" s="190"/>
      <c r="G24" s="60"/>
      <c r="H24" s="60"/>
      <c r="I24" s="175">
        <f t="shared" si="3"/>
        <v>0</v>
      </c>
      <c r="J24" s="193"/>
      <c r="K24" s="61"/>
      <c r="L24" s="61"/>
      <c r="M24" s="175">
        <f t="shared" si="4"/>
        <v>0</v>
      </c>
      <c r="N24" s="208"/>
      <c r="O24" s="61"/>
      <c r="P24" s="61"/>
      <c r="Q24" s="208"/>
      <c r="R24" s="208"/>
      <c r="S24" s="60">
        <v>500000</v>
      </c>
      <c r="T24" s="60">
        <v>500000</v>
      </c>
      <c r="U24" s="60"/>
      <c r="V24" s="60"/>
      <c r="W24" s="193"/>
      <c r="X24" s="193"/>
      <c r="Y24" s="60"/>
      <c r="Z24" s="60"/>
      <c r="AA24" s="31">
        <f t="shared" si="6"/>
        <v>500000</v>
      </c>
      <c r="AB24" s="31">
        <f t="shared" si="5"/>
        <v>500000</v>
      </c>
      <c r="AC24" s="62"/>
      <c r="AD24" s="60"/>
      <c r="AE24" s="60"/>
      <c r="AF24" s="196">
        <f t="shared" si="8"/>
        <v>0</v>
      </c>
      <c r="AG24" s="193"/>
      <c r="AH24" s="60"/>
      <c r="AI24" s="60"/>
      <c r="AJ24" s="60"/>
    </row>
    <row r="25" spans="1:36" ht="30.75" customHeight="1" thickBot="1" x14ac:dyDescent="0.2">
      <c r="A25" s="36">
        <v>9</v>
      </c>
      <c r="B25" s="74" t="s">
        <v>32</v>
      </c>
      <c r="C25" s="60"/>
      <c r="D25" s="60"/>
      <c r="E25" s="177">
        <f t="shared" si="7"/>
        <v>0</v>
      </c>
      <c r="F25" s="190"/>
      <c r="G25" s="60"/>
      <c r="H25" s="60"/>
      <c r="I25" s="175">
        <f t="shared" si="3"/>
        <v>0</v>
      </c>
      <c r="J25" s="193"/>
      <c r="K25" s="61">
        <v>0</v>
      </c>
      <c r="L25" s="61">
        <v>800000</v>
      </c>
      <c r="M25" s="175">
        <f t="shared" si="4"/>
        <v>800000</v>
      </c>
      <c r="N25" s="220" t="s">
        <v>73</v>
      </c>
      <c r="O25" s="61"/>
      <c r="P25" s="61"/>
      <c r="Q25" s="208"/>
      <c r="R25" s="208"/>
      <c r="S25" s="60"/>
      <c r="T25" s="60"/>
      <c r="U25" s="60"/>
      <c r="V25" s="60"/>
      <c r="W25" s="193"/>
      <c r="X25" s="193"/>
      <c r="Y25" s="60"/>
      <c r="Z25" s="60"/>
      <c r="AA25" s="31">
        <f t="shared" si="6"/>
        <v>0</v>
      </c>
      <c r="AB25" s="31">
        <f t="shared" si="5"/>
        <v>800000</v>
      </c>
      <c r="AC25" s="62"/>
      <c r="AD25" s="60">
        <v>0</v>
      </c>
      <c r="AE25" s="60">
        <v>1000000</v>
      </c>
      <c r="AF25" s="196">
        <f t="shared" si="8"/>
        <v>1000000</v>
      </c>
      <c r="AG25" s="230" t="s">
        <v>108</v>
      </c>
      <c r="AH25" s="60"/>
      <c r="AI25" s="60"/>
      <c r="AJ25" s="60"/>
    </row>
    <row r="26" spans="1:36" ht="16.5" customHeight="1" thickBot="1" x14ac:dyDescent="0.25">
      <c r="A26" s="36">
        <v>10</v>
      </c>
      <c r="B26" s="75" t="s">
        <v>33</v>
      </c>
      <c r="C26" s="76">
        <f>400000</f>
        <v>400000</v>
      </c>
      <c r="D26" s="76">
        <f>400000</f>
        <v>400000</v>
      </c>
      <c r="E26" s="177">
        <f t="shared" si="7"/>
        <v>0</v>
      </c>
      <c r="F26" s="190"/>
      <c r="G26" s="76">
        <f>C26*22%</f>
        <v>88000</v>
      </c>
      <c r="H26" s="76">
        <v>88000</v>
      </c>
      <c r="I26" s="175">
        <f t="shared" si="3"/>
        <v>0</v>
      </c>
      <c r="J26" s="195"/>
      <c r="K26" s="77">
        <v>4000000</v>
      </c>
      <c r="L26" s="77">
        <v>4000000</v>
      </c>
      <c r="M26" s="175">
        <f t="shared" si="4"/>
        <v>0</v>
      </c>
      <c r="N26" s="210"/>
      <c r="O26" s="77"/>
      <c r="P26" s="77"/>
      <c r="Q26" s="210"/>
      <c r="R26" s="210"/>
      <c r="S26" s="76"/>
      <c r="T26" s="76"/>
      <c r="U26" s="76"/>
      <c r="V26" s="76"/>
      <c r="W26" s="195"/>
      <c r="X26" s="195"/>
      <c r="Y26" s="76"/>
      <c r="Z26" s="76"/>
      <c r="AA26" s="31">
        <f t="shared" si="6"/>
        <v>4488000</v>
      </c>
      <c r="AB26" s="31">
        <f t="shared" si="5"/>
        <v>4488000</v>
      </c>
      <c r="AC26" s="78"/>
      <c r="AD26" s="76"/>
      <c r="AE26" s="76"/>
      <c r="AF26" s="196">
        <f t="shared" si="8"/>
        <v>0</v>
      </c>
      <c r="AG26" s="195"/>
      <c r="AH26" s="76"/>
      <c r="AI26" s="76"/>
      <c r="AJ26" s="76"/>
    </row>
    <row r="27" spans="1:36" ht="15.75" customHeight="1" thickBot="1" x14ac:dyDescent="0.2">
      <c r="A27" s="79">
        <v>11</v>
      </c>
      <c r="B27" s="80" t="s">
        <v>34</v>
      </c>
      <c r="C27" s="81">
        <f>SUM(C28:C41)</f>
        <v>4898585</v>
      </c>
      <c r="D27" s="81">
        <f>SUM(D28:D41)</f>
        <v>4789835</v>
      </c>
      <c r="E27" s="176">
        <f>D27-C27</f>
        <v>-108750</v>
      </c>
      <c r="F27" s="183"/>
      <c r="G27" s="81">
        <f t="shared" ref="G27:Z27" si="10">SUM(G28:G41)</f>
        <v>3540482.12</v>
      </c>
      <c r="H27" s="81">
        <f t="shared" si="10"/>
        <v>3449732.12</v>
      </c>
      <c r="I27" s="175">
        <f t="shared" si="3"/>
        <v>-90750</v>
      </c>
      <c r="J27" s="176"/>
      <c r="K27" s="81">
        <f t="shared" si="10"/>
        <v>19038631</v>
      </c>
      <c r="L27" s="81">
        <f t="shared" si="10"/>
        <v>17733721</v>
      </c>
      <c r="M27" s="175">
        <f t="shared" si="4"/>
        <v>-1304910</v>
      </c>
      <c r="N27" s="176"/>
      <c r="O27" s="81">
        <f t="shared" si="10"/>
        <v>0</v>
      </c>
      <c r="P27" s="81"/>
      <c r="Q27" s="176"/>
      <c r="R27" s="176"/>
      <c r="S27" s="81">
        <f t="shared" si="10"/>
        <v>0</v>
      </c>
      <c r="T27" s="81"/>
      <c r="U27" s="81">
        <f t="shared" si="10"/>
        <v>0</v>
      </c>
      <c r="V27" s="81">
        <f t="shared" si="10"/>
        <v>75000000</v>
      </c>
      <c r="W27" s="176">
        <f>V27-U27</f>
        <v>75000000</v>
      </c>
      <c r="X27" s="176"/>
      <c r="Y27" s="81">
        <f t="shared" si="10"/>
        <v>12335000</v>
      </c>
      <c r="Z27" s="81">
        <f t="shared" si="10"/>
        <v>12335000</v>
      </c>
      <c r="AA27" s="31">
        <f t="shared" si="6"/>
        <v>39812698.120000005</v>
      </c>
      <c r="AB27" s="31">
        <f t="shared" si="5"/>
        <v>113308288.12</v>
      </c>
      <c r="AC27" s="81"/>
      <c r="AD27" s="81">
        <f>SUM(AD28:AD41)</f>
        <v>362098602</v>
      </c>
      <c r="AE27" s="81">
        <f>SUM(AE28:AE41)</f>
        <v>345745255</v>
      </c>
      <c r="AF27" s="196">
        <f t="shared" si="8"/>
        <v>-16353347</v>
      </c>
      <c r="AG27" s="196"/>
      <c r="AH27" s="81">
        <f>SUM(AH29:AH36)</f>
        <v>0</v>
      </c>
      <c r="AI27" s="81">
        <f>SUM(AI29:AI36)</f>
        <v>0</v>
      </c>
      <c r="AJ27" s="81">
        <f>SUM(AJ29:AJ36)</f>
        <v>0</v>
      </c>
    </row>
    <row r="28" spans="1:36" ht="24" customHeight="1" thickBot="1" x14ac:dyDescent="0.25">
      <c r="A28" s="82"/>
      <c r="B28" s="83" t="s">
        <v>35</v>
      </c>
      <c r="C28" s="43"/>
      <c r="D28" s="43"/>
      <c r="E28" s="176">
        <f t="shared" ref="E28:E41" si="11">D28-C28</f>
        <v>0</v>
      </c>
      <c r="F28" s="188"/>
      <c r="G28" s="43"/>
      <c r="H28" s="43"/>
      <c r="I28" s="175">
        <f t="shared" si="3"/>
        <v>0</v>
      </c>
      <c r="J28" s="196"/>
      <c r="K28" s="43"/>
      <c r="L28" s="43"/>
      <c r="M28" s="175">
        <f t="shared" si="4"/>
        <v>0</v>
      </c>
      <c r="N28" s="196"/>
      <c r="O28" s="43"/>
      <c r="P28" s="43"/>
      <c r="Q28" s="196"/>
      <c r="R28" s="196"/>
      <c r="S28" s="43"/>
      <c r="T28" s="43"/>
      <c r="U28" s="43"/>
      <c r="V28" s="43"/>
      <c r="W28" s="196"/>
      <c r="X28" s="196"/>
      <c r="Y28" s="43"/>
      <c r="Z28" s="43"/>
      <c r="AA28" s="31">
        <f t="shared" si="6"/>
        <v>0</v>
      </c>
      <c r="AB28" s="31">
        <f t="shared" si="5"/>
        <v>0</v>
      </c>
      <c r="AC28" s="17"/>
      <c r="AD28" s="43">
        <v>2472224</v>
      </c>
      <c r="AE28" s="43">
        <v>2472224</v>
      </c>
      <c r="AF28" s="196">
        <f t="shared" si="8"/>
        <v>0</v>
      </c>
      <c r="AG28" s="196"/>
      <c r="AH28" s="43"/>
      <c r="AI28" s="43"/>
      <c r="AJ28" s="43"/>
    </row>
    <row r="29" spans="1:36" ht="29.25" customHeight="1" thickBot="1" x14ac:dyDescent="0.25">
      <c r="A29" s="84"/>
      <c r="B29" s="85" t="s">
        <v>36</v>
      </c>
      <c r="C29" s="50"/>
      <c r="D29" s="44"/>
      <c r="E29" s="176">
        <f t="shared" si="11"/>
        <v>0</v>
      </c>
      <c r="F29" s="188"/>
      <c r="G29" s="44"/>
      <c r="H29" s="44"/>
      <c r="I29" s="175">
        <f t="shared" si="3"/>
        <v>0</v>
      </c>
      <c r="J29" s="196"/>
      <c r="K29" s="86"/>
      <c r="L29" s="86"/>
      <c r="M29" s="175">
        <f t="shared" si="4"/>
        <v>0</v>
      </c>
      <c r="N29" s="211"/>
      <c r="O29" s="86"/>
      <c r="P29" s="86"/>
      <c r="Q29" s="211"/>
      <c r="R29" s="211"/>
      <c r="S29" s="44"/>
      <c r="T29" s="44"/>
      <c r="U29" s="44"/>
      <c r="V29" s="44"/>
      <c r="W29" s="196"/>
      <c r="X29" s="196"/>
      <c r="Y29" s="44"/>
      <c r="Z29" s="44"/>
      <c r="AA29" s="31">
        <f t="shared" si="6"/>
        <v>0</v>
      </c>
      <c r="AB29" s="31">
        <f t="shared" si="5"/>
        <v>0</v>
      </c>
      <c r="AC29" s="87"/>
      <c r="AD29" s="43">
        <f>6000000</f>
        <v>6000000</v>
      </c>
      <c r="AE29" s="43">
        <v>0</v>
      </c>
      <c r="AF29" s="196">
        <f t="shared" si="8"/>
        <v>-6000000</v>
      </c>
      <c r="AG29" s="232" t="s">
        <v>109</v>
      </c>
      <c r="AH29" s="44"/>
      <c r="AI29" s="44"/>
      <c r="AJ29" s="44"/>
    </row>
    <row r="30" spans="1:36" ht="52.5" customHeight="1" thickBot="1" x14ac:dyDescent="0.25">
      <c r="A30" s="88"/>
      <c r="B30" s="89" t="s">
        <v>75</v>
      </c>
      <c r="C30" s="50"/>
      <c r="D30" s="50"/>
      <c r="E30" s="176">
        <f t="shared" si="11"/>
        <v>0</v>
      </c>
      <c r="F30" s="188"/>
      <c r="G30" s="50"/>
      <c r="H30" s="50"/>
      <c r="I30" s="175">
        <f t="shared" si="3"/>
        <v>0</v>
      </c>
      <c r="J30" s="191"/>
      <c r="K30" s="51">
        <v>0</v>
      </c>
      <c r="L30" s="51">
        <v>127000</v>
      </c>
      <c r="M30" s="175">
        <f t="shared" si="4"/>
        <v>127000</v>
      </c>
      <c r="N30" s="220" t="s">
        <v>90</v>
      </c>
      <c r="O30" s="51"/>
      <c r="P30" s="51"/>
      <c r="Q30" s="206"/>
      <c r="R30" s="206"/>
      <c r="S30" s="50"/>
      <c r="T30" s="50"/>
      <c r="U30" s="50"/>
      <c r="V30" s="50"/>
      <c r="W30" s="191"/>
      <c r="X30" s="191"/>
      <c r="Y30" s="50"/>
      <c r="Z30" s="44"/>
      <c r="AA30" s="31">
        <f t="shared" si="6"/>
        <v>0</v>
      </c>
      <c r="AB30" s="31">
        <f t="shared" si="5"/>
        <v>127000</v>
      </c>
      <c r="AC30" s="87"/>
      <c r="AD30" s="48">
        <f>15000000+2647059</f>
        <v>17647059</v>
      </c>
      <c r="AE30" s="48">
        <v>17647059</v>
      </c>
      <c r="AF30" s="196">
        <f t="shared" si="8"/>
        <v>0</v>
      </c>
      <c r="AG30" s="191"/>
      <c r="AH30" s="50"/>
      <c r="AI30" s="50"/>
      <c r="AJ30" s="50"/>
    </row>
    <row r="31" spans="1:36" ht="48.75" customHeight="1" thickBot="1" x14ac:dyDescent="0.25">
      <c r="A31" s="88"/>
      <c r="B31" s="89" t="s">
        <v>76</v>
      </c>
      <c r="C31" s="50"/>
      <c r="D31" s="50"/>
      <c r="E31" s="184"/>
      <c r="F31" s="188"/>
      <c r="G31" s="50"/>
      <c r="H31" s="50"/>
      <c r="I31" s="175">
        <f t="shared" si="3"/>
        <v>0</v>
      </c>
      <c r="J31" s="191"/>
      <c r="K31" s="51"/>
      <c r="L31" s="51"/>
      <c r="M31" s="175">
        <f t="shared" si="4"/>
        <v>0</v>
      </c>
      <c r="N31" s="206"/>
      <c r="O31" s="51"/>
      <c r="P31" s="51"/>
      <c r="Q31" s="206"/>
      <c r="R31" s="206"/>
      <c r="S31" s="50"/>
      <c r="T31" s="50"/>
      <c r="U31" s="50"/>
      <c r="V31" s="50"/>
      <c r="W31" s="191"/>
      <c r="X31" s="191"/>
      <c r="Y31" s="50"/>
      <c r="Z31" s="44"/>
      <c r="AA31" s="31">
        <f t="shared" si="6"/>
        <v>0</v>
      </c>
      <c r="AB31" s="31">
        <f t="shared" si="5"/>
        <v>0</v>
      </c>
      <c r="AC31" s="87"/>
      <c r="AD31" s="48"/>
      <c r="AE31" s="48">
        <v>2647059</v>
      </c>
      <c r="AF31" s="196">
        <f t="shared" si="8"/>
        <v>2647059</v>
      </c>
      <c r="AG31" s="226" t="s">
        <v>110</v>
      </c>
      <c r="AH31" s="50"/>
      <c r="AI31" s="50"/>
      <c r="AJ31" s="50"/>
    </row>
    <row r="32" spans="1:36" ht="11.25" customHeight="1" thickBot="1" x14ac:dyDescent="0.25">
      <c r="A32" s="88"/>
      <c r="B32" s="89" t="s">
        <v>77</v>
      </c>
      <c r="C32" s="50"/>
      <c r="D32" s="50"/>
      <c r="E32" s="188"/>
      <c r="F32" s="188"/>
      <c r="G32" s="50"/>
      <c r="H32" s="50"/>
      <c r="I32" s="175">
        <f t="shared" si="3"/>
        <v>0</v>
      </c>
      <c r="J32" s="191"/>
      <c r="K32" s="51"/>
      <c r="L32" s="51"/>
      <c r="M32" s="175">
        <f t="shared" si="4"/>
        <v>0</v>
      </c>
      <c r="N32" s="206"/>
      <c r="O32" s="51"/>
      <c r="P32" s="51"/>
      <c r="Q32" s="206"/>
      <c r="R32" s="206"/>
      <c r="S32" s="50"/>
      <c r="T32" s="50"/>
      <c r="U32" s="50"/>
      <c r="V32" s="50"/>
      <c r="W32" s="191"/>
      <c r="X32" s="191"/>
      <c r="Y32" s="50"/>
      <c r="Z32" s="44"/>
      <c r="AA32" s="31">
        <f t="shared" si="6"/>
        <v>0</v>
      </c>
      <c r="AB32" s="31">
        <f t="shared" si="5"/>
        <v>0</v>
      </c>
      <c r="AC32" s="87"/>
      <c r="AD32" s="48"/>
      <c r="AE32" s="48">
        <v>50000000</v>
      </c>
      <c r="AF32" s="196">
        <f t="shared" si="8"/>
        <v>50000000</v>
      </c>
      <c r="AG32" s="191"/>
      <c r="AH32" s="50"/>
      <c r="AI32" s="50"/>
      <c r="AJ32" s="50"/>
    </row>
    <row r="33" spans="1:37" ht="74.25" customHeight="1" thickBot="1" x14ac:dyDescent="0.25">
      <c r="A33" s="88"/>
      <c r="B33" s="90" t="s">
        <v>37</v>
      </c>
      <c r="C33" s="50">
        <v>258750</v>
      </c>
      <c r="D33" s="50">
        <v>0</v>
      </c>
      <c r="E33" s="188">
        <f t="shared" si="11"/>
        <v>-258750</v>
      </c>
      <c r="F33" s="189" t="s">
        <v>78</v>
      </c>
      <c r="G33" s="50">
        <v>116250</v>
      </c>
      <c r="H33" s="50">
        <v>0</v>
      </c>
      <c r="I33" s="175">
        <f t="shared" si="3"/>
        <v>-116250</v>
      </c>
      <c r="J33" s="205" t="s">
        <v>78</v>
      </c>
      <c r="K33" s="51">
        <f>730250+750000+50000+750000+119710</f>
        <v>2399960</v>
      </c>
      <c r="L33" s="51">
        <v>1480250</v>
      </c>
      <c r="M33" s="175">
        <f t="shared" si="4"/>
        <v>-919710</v>
      </c>
      <c r="N33" s="205" t="s">
        <v>78</v>
      </c>
      <c r="O33" s="51"/>
      <c r="P33" s="51"/>
      <c r="Q33" s="206"/>
      <c r="R33" s="206"/>
      <c r="S33" s="50"/>
      <c r="T33" s="50"/>
      <c r="U33" s="50">
        <v>0</v>
      </c>
      <c r="V33" s="50">
        <v>75000000</v>
      </c>
      <c r="W33" s="191">
        <f>V33-U33</f>
        <v>75000000</v>
      </c>
      <c r="X33" s="227" t="s">
        <v>100</v>
      </c>
      <c r="Y33" s="50"/>
      <c r="Z33" s="50"/>
      <c r="AA33" s="31">
        <f t="shared" si="6"/>
        <v>2774960</v>
      </c>
      <c r="AB33" s="31">
        <f t="shared" si="5"/>
        <v>76480250</v>
      </c>
      <c r="AC33" s="52"/>
      <c r="AD33" s="48">
        <f>'[1]6 beruházások'!D30</f>
        <v>71755290</v>
      </c>
      <c r="AE33" s="48">
        <v>0</v>
      </c>
      <c r="AF33" s="196">
        <f t="shared" si="8"/>
        <v>-71755290</v>
      </c>
      <c r="AG33" s="189" t="s">
        <v>78</v>
      </c>
      <c r="AH33" s="50"/>
      <c r="AI33" s="50"/>
      <c r="AJ33" s="50"/>
    </row>
    <row r="34" spans="1:37" ht="31.5" customHeight="1" thickBot="1" x14ac:dyDescent="0.25">
      <c r="A34" s="88"/>
      <c r="B34" s="90" t="s">
        <v>91</v>
      </c>
      <c r="C34" s="50"/>
      <c r="D34" s="50"/>
      <c r="E34" s="188"/>
      <c r="F34" s="189"/>
      <c r="G34" s="50"/>
      <c r="H34" s="50"/>
      <c r="I34" s="175"/>
      <c r="J34" s="205"/>
      <c r="K34" s="51">
        <v>0</v>
      </c>
      <c r="L34" s="51">
        <v>300000</v>
      </c>
      <c r="M34" s="175">
        <f t="shared" si="4"/>
        <v>300000</v>
      </c>
      <c r="N34" s="205" t="s">
        <v>92</v>
      </c>
      <c r="O34" s="51"/>
      <c r="P34" s="51"/>
      <c r="Q34" s="206"/>
      <c r="R34" s="206"/>
      <c r="S34" s="50"/>
      <c r="T34" s="50"/>
      <c r="U34" s="50"/>
      <c r="V34" s="50"/>
      <c r="W34" s="191"/>
      <c r="X34" s="191"/>
      <c r="Y34" s="50"/>
      <c r="Z34" s="50"/>
      <c r="AA34" s="31">
        <f t="shared" si="6"/>
        <v>0</v>
      </c>
      <c r="AB34" s="31">
        <f t="shared" si="5"/>
        <v>300000</v>
      </c>
      <c r="AC34" s="52"/>
      <c r="AD34" s="48"/>
      <c r="AE34" s="48"/>
      <c r="AF34" s="196">
        <f t="shared" si="8"/>
        <v>0</v>
      </c>
      <c r="AG34" s="191"/>
      <c r="AH34" s="50"/>
      <c r="AI34" s="50"/>
      <c r="AJ34" s="50"/>
    </row>
    <row r="35" spans="1:37" ht="11.25" customHeight="1" thickBot="1" x14ac:dyDescent="0.25">
      <c r="A35" s="88"/>
      <c r="B35" s="90" t="s">
        <v>38</v>
      </c>
      <c r="C35" s="50">
        <v>571672</v>
      </c>
      <c r="D35" s="50">
        <v>571672</v>
      </c>
      <c r="E35" s="188">
        <f t="shared" si="11"/>
        <v>0</v>
      </c>
      <c r="F35" s="189"/>
      <c r="G35" s="50">
        <f>C35*21%</f>
        <v>120051.12</v>
      </c>
      <c r="H35" s="50">
        <f>D35*21%</f>
        <v>120051.12</v>
      </c>
      <c r="I35" s="175">
        <f t="shared" si="3"/>
        <v>0</v>
      </c>
      <c r="J35" s="191"/>
      <c r="K35" s="51">
        <v>0</v>
      </c>
      <c r="L35" s="51"/>
      <c r="M35" s="175">
        <f t="shared" si="4"/>
        <v>0</v>
      </c>
      <c r="N35" s="206"/>
      <c r="O35" s="51"/>
      <c r="P35" s="51"/>
      <c r="Q35" s="206"/>
      <c r="R35" s="206"/>
      <c r="S35" s="50"/>
      <c r="T35" s="50"/>
      <c r="U35" s="50"/>
      <c r="V35" s="50"/>
      <c r="W35" s="191"/>
      <c r="X35" s="191"/>
      <c r="Y35" s="50"/>
      <c r="Z35" s="50"/>
      <c r="AA35" s="31">
        <f t="shared" si="6"/>
        <v>691723.12</v>
      </c>
      <c r="AB35" s="31">
        <f t="shared" si="5"/>
        <v>691723.12</v>
      </c>
      <c r="AC35" s="52"/>
      <c r="AD35" s="48">
        <v>0</v>
      </c>
      <c r="AE35" s="48"/>
      <c r="AF35" s="196">
        <f t="shared" si="8"/>
        <v>0</v>
      </c>
      <c r="AG35" s="191"/>
      <c r="AH35" s="50"/>
      <c r="AI35" s="50"/>
      <c r="AJ35" s="50"/>
    </row>
    <row r="36" spans="1:37" ht="12.75" customHeight="1" thickBot="1" x14ac:dyDescent="0.25">
      <c r="A36" s="88"/>
      <c r="B36" s="186" t="s">
        <v>39</v>
      </c>
      <c r="C36" s="53">
        <f>496625+70946</f>
        <v>567571</v>
      </c>
      <c r="D36" s="53">
        <f>496625+70946</f>
        <v>567571</v>
      </c>
      <c r="E36" s="188">
        <f t="shared" si="11"/>
        <v>0</v>
      </c>
      <c r="F36" s="188"/>
      <c r="G36" s="91">
        <v>141893</v>
      </c>
      <c r="H36" s="91">
        <v>141893</v>
      </c>
      <c r="I36" s="175">
        <f t="shared" si="3"/>
        <v>0</v>
      </c>
      <c r="J36" s="197"/>
      <c r="K36" s="92">
        <f>1418928+709464+170000+1418928</f>
        <v>3717320</v>
      </c>
      <c r="L36" s="92">
        <v>3717320</v>
      </c>
      <c r="M36" s="175">
        <f t="shared" si="4"/>
        <v>0</v>
      </c>
      <c r="N36" s="212"/>
      <c r="O36" s="92"/>
      <c r="P36" s="92"/>
      <c r="Q36" s="212"/>
      <c r="R36" s="212"/>
      <c r="S36" s="91"/>
      <c r="T36" s="91"/>
      <c r="U36" s="91"/>
      <c r="V36" s="91"/>
      <c r="W36" s="197"/>
      <c r="X36" s="197"/>
      <c r="Y36" s="91"/>
      <c r="Z36" s="91"/>
      <c r="AA36" s="31">
        <f t="shared" si="6"/>
        <v>4426784</v>
      </c>
      <c r="AB36" s="31">
        <f t="shared" si="5"/>
        <v>4426784</v>
      </c>
      <c r="AC36" s="93"/>
      <c r="AD36" s="94">
        <f>'[1]6 beruházások'!D33</f>
        <v>129984780</v>
      </c>
      <c r="AE36" s="94">
        <v>129984780</v>
      </c>
      <c r="AF36" s="196">
        <f t="shared" si="8"/>
        <v>0</v>
      </c>
      <c r="AG36" s="197"/>
      <c r="AH36" s="91"/>
      <c r="AI36" s="91"/>
      <c r="AJ36" s="91"/>
    </row>
    <row r="37" spans="1:37" ht="12.75" customHeight="1" thickBot="1" x14ac:dyDescent="0.25">
      <c r="A37" s="88"/>
      <c r="B37" s="89" t="s">
        <v>40</v>
      </c>
      <c r="C37" s="50">
        <f>196649+11143</f>
        <v>207792</v>
      </c>
      <c r="D37" s="50">
        <f>196649+11143</f>
        <v>207792</v>
      </c>
      <c r="E37" s="188">
        <f t="shared" si="11"/>
        <v>0</v>
      </c>
      <c r="F37" s="188"/>
      <c r="G37" s="50">
        <v>60708</v>
      </c>
      <c r="H37" s="50">
        <v>60708</v>
      </c>
      <c r="I37" s="175">
        <f t="shared" si="3"/>
        <v>0</v>
      </c>
      <c r="J37" s="191"/>
      <c r="K37" s="51">
        <f>537000+170000+537000+500000</f>
        <v>1744000</v>
      </c>
      <c r="L37" s="51">
        <v>1744000</v>
      </c>
      <c r="M37" s="175">
        <f t="shared" si="4"/>
        <v>0</v>
      </c>
      <c r="N37" s="206"/>
      <c r="O37" s="51"/>
      <c r="P37" s="51"/>
      <c r="Q37" s="206"/>
      <c r="R37" s="206"/>
      <c r="S37" s="50"/>
      <c r="T37" s="50"/>
      <c r="U37" s="50"/>
      <c r="V37" s="50"/>
      <c r="W37" s="191"/>
      <c r="X37" s="191"/>
      <c r="Y37" s="50"/>
      <c r="Z37" s="50"/>
      <c r="AA37" s="31">
        <f t="shared" si="6"/>
        <v>2012500</v>
      </c>
      <c r="AB37" s="31">
        <f t="shared" si="5"/>
        <v>2012500</v>
      </c>
      <c r="AC37" s="52"/>
      <c r="AD37" s="48">
        <f>'[1]6 beruházások'!D49+'[1]6 beruházások'!D34</f>
        <v>47966500</v>
      </c>
      <c r="AE37" s="48">
        <v>47966500</v>
      </c>
      <c r="AF37" s="196">
        <f t="shared" si="8"/>
        <v>0</v>
      </c>
      <c r="AG37" s="191"/>
      <c r="AH37" s="50"/>
      <c r="AI37" s="50"/>
      <c r="AJ37" s="50"/>
    </row>
    <row r="38" spans="1:37" ht="12.75" customHeight="1" thickBot="1" x14ac:dyDescent="0.25">
      <c r="A38" s="88"/>
      <c r="B38" s="89" t="s">
        <v>41</v>
      </c>
      <c r="C38" s="50">
        <f>892800+(12*200000)</f>
        <v>3292800</v>
      </c>
      <c r="D38" s="50">
        <v>3292800</v>
      </c>
      <c r="E38" s="188">
        <f t="shared" si="11"/>
        <v>0</v>
      </c>
      <c r="F38" s="188"/>
      <c r="G38" s="50">
        <v>3101580</v>
      </c>
      <c r="H38" s="50">
        <v>3101580</v>
      </c>
      <c r="I38" s="175">
        <f t="shared" si="3"/>
        <v>0</v>
      </c>
      <c r="J38" s="191"/>
      <c r="K38" s="51">
        <v>7499836</v>
      </c>
      <c r="L38" s="51">
        <v>7499836</v>
      </c>
      <c r="M38" s="175">
        <f t="shared" si="4"/>
        <v>0</v>
      </c>
      <c r="N38" s="206"/>
      <c r="O38" s="51"/>
      <c r="P38" s="51"/>
      <c r="Q38" s="206"/>
      <c r="R38" s="206"/>
      <c r="S38" s="50"/>
      <c r="T38" s="50"/>
      <c r="U38" s="50"/>
      <c r="V38" s="50"/>
      <c r="W38" s="191"/>
      <c r="X38" s="191"/>
      <c r="Y38" s="50">
        <f>27203979-C38-G38-AD38-K38</f>
        <v>12335000</v>
      </c>
      <c r="Z38" s="50">
        <f>12335000</f>
        <v>12335000</v>
      </c>
      <c r="AA38" s="31">
        <f t="shared" si="6"/>
        <v>26229216</v>
      </c>
      <c r="AB38" s="31">
        <f t="shared" si="5"/>
        <v>26229216</v>
      </c>
      <c r="AC38" s="52"/>
      <c r="AD38" s="48">
        <f>'[1]6 beruházások'!D36</f>
        <v>974763</v>
      </c>
      <c r="AE38" s="48">
        <v>974763</v>
      </c>
      <c r="AF38" s="196">
        <f t="shared" si="8"/>
        <v>0</v>
      </c>
      <c r="AG38" s="191"/>
      <c r="AH38" s="50"/>
      <c r="AI38" s="50"/>
      <c r="AJ38" s="50"/>
    </row>
    <row r="39" spans="1:37" ht="12.75" customHeight="1" thickBot="1" x14ac:dyDescent="0.25">
      <c r="A39" s="88" t="s">
        <v>42</v>
      </c>
      <c r="B39" s="95" t="s">
        <v>43</v>
      </c>
      <c r="C39" s="50"/>
      <c r="D39" s="50"/>
      <c r="E39" s="188">
        <f t="shared" si="11"/>
        <v>0</v>
      </c>
      <c r="F39" s="188"/>
      <c r="G39" s="50"/>
      <c r="H39" s="50"/>
      <c r="I39" s="175">
        <f t="shared" si="3"/>
        <v>0</v>
      </c>
      <c r="J39" s="191"/>
      <c r="K39" s="51"/>
      <c r="L39" s="51"/>
      <c r="M39" s="175">
        <f t="shared" si="4"/>
        <v>0</v>
      </c>
      <c r="N39" s="206"/>
      <c r="O39" s="51"/>
      <c r="P39" s="51"/>
      <c r="Q39" s="206"/>
      <c r="R39" s="206"/>
      <c r="S39" s="50"/>
      <c r="T39" s="50"/>
      <c r="U39" s="50"/>
      <c r="V39" s="50"/>
      <c r="W39" s="191"/>
      <c r="X39" s="191"/>
      <c r="Y39" s="50"/>
      <c r="Z39" s="50"/>
      <c r="AA39" s="31">
        <f t="shared" si="6"/>
        <v>0</v>
      </c>
      <c r="AB39" s="31">
        <f t="shared" si="5"/>
        <v>0</v>
      </c>
      <c r="AC39" s="52"/>
      <c r="AD39" s="48">
        <f>'[1]6 beruházások'!D37</f>
        <v>8769066</v>
      </c>
      <c r="AE39" s="48">
        <v>8769066</v>
      </c>
      <c r="AF39" s="196">
        <f t="shared" si="8"/>
        <v>0</v>
      </c>
      <c r="AG39" s="191"/>
      <c r="AH39" s="50"/>
      <c r="AI39" s="50"/>
      <c r="AJ39" s="50"/>
    </row>
    <row r="40" spans="1:37" ht="28.5" customHeight="1" thickBot="1" x14ac:dyDescent="0.25">
      <c r="A40" s="88"/>
      <c r="B40" s="96" t="s">
        <v>44</v>
      </c>
      <c r="C40" s="50"/>
      <c r="D40" s="50"/>
      <c r="E40" s="188">
        <f t="shared" si="11"/>
        <v>0</v>
      </c>
      <c r="F40" s="188"/>
      <c r="G40" s="50"/>
      <c r="H40" s="50"/>
      <c r="I40" s="175">
        <f t="shared" si="3"/>
        <v>0</v>
      </c>
      <c r="J40" s="191"/>
      <c r="K40" s="51"/>
      <c r="L40" s="51"/>
      <c r="M40" s="175">
        <f t="shared" si="4"/>
        <v>0</v>
      </c>
      <c r="N40" s="206"/>
      <c r="O40" s="51"/>
      <c r="P40" s="51"/>
      <c r="Q40" s="206"/>
      <c r="R40" s="206"/>
      <c r="S40" s="50"/>
      <c r="T40" s="50"/>
      <c r="U40" s="50"/>
      <c r="V40" s="50"/>
      <c r="W40" s="191"/>
      <c r="X40" s="191"/>
      <c r="Y40" s="50"/>
      <c r="Z40" s="50"/>
      <c r="AA40" s="31">
        <f t="shared" si="6"/>
        <v>0</v>
      </c>
      <c r="AB40" s="31">
        <f t="shared" si="5"/>
        <v>0</v>
      </c>
      <c r="AC40" s="52"/>
      <c r="AD40" s="48">
        <f>'[1]6 beruházások'!D38</f>
        <v>750000</v>
      </c>
      <c r="AE40" s="48">
        <v>750000</v>
      </c>
      <c r="AF40" s="196">
        <f t="shared" si="8"/>
        <v>0</v>
      </c>
      <c r="AG40" s="191"/>
      <c r="AH40" s="50"/>
      <c r="AI40" s="50"/>
      <c r="AJ40" s="50"/>
    </row>
    <row r="41" spans="1:37" ht="99" customHeight="1" thickBot="1" x14ac:dyDescent="0.25">
      <c r="A41" s="88"/>
      <c r="B41" s="97" t="s">
        <v>45</v>
      </c>
      <c r="C41" s="53">
        <v>0</v>
      </c>
      <c r="D41" s="53">
        <v>150000</v>
      </c>
      <c r="E41" s="179">
        <f t="shared" si="11"/>
        <v>150000</v>
      </c>
      <c r="F41" s="187" t="s">
        <v>82</v>
      </c>
      <c r="G41" s="53">
        <v>0</v>
      </c>
      <c r="H41" s="53">
        <v>25500</v>
      </c>
      <c r="I41" s="175">
        <f t="shared" si="3"/>
        <v>25500</v>
      </c>
      <c r="J41" s="187" t="s">
        <v>83</v>
      </c>
      <c r="K41" s="55">
        <f>990000+350000+1000000+980315+357200</f>
        <v>3677515</v>
      </c>
      <c r="L41" s="55">
        <v>2865315</v>
      </c>
      <c r="M41" s="175">
        <f t="shared" si="4"/>
        <v>-812200</v>
      </c>
      <c r="N41" s="221" t="s">
        <v>93</v>
      </c>
      <c r="O41" s="55"/>
      <c r="P41" s="55"/>
      <c r="Q41" s="207"/>
      <c r="R41" s="207"/>
      <c r="S41" s="53"/>
      <c r="T41" s="53"/>
      <c r="U41" s="53"/>
      <c r="V41" s="53"/>
      <c r="W41" s="192"/>
      <c r="X41" s="192"/>
      <c r="Y41" s="53"/>
      <c r="Z41" s="53"/>
      <c r="AA41" s="31">
        <f t="shared" si="6"/>
        <v>3677515</v>
      </c>
      <c r="AB41" s="31">
        <f t="shared" si="5"/>
        <v>3040815</v>
      </c>
      <c r="AC41" s="58"/>
      <c r="AD41" s="98">
        <f>'[1]6 beruházások'!D39</f>
        <v>75778920</v>
      </c>
      <c r="AE41" s="98">
        <v>84533804</v>
      </c>
      <c r="AF41" s="196">
        <f t="shared" si="8"/>
        <v>8754884</v>
      </c>
      <c r="AG41" s="236" t="s">
        <v>111</v>
      </c>
      <c r="AH41" s="53"/>
      <c r="AI41" s="53"/>
      <c r="AJ41" s="53"/>
      <c r="AK41" s="99"/>
    </row>
    <row r="42" spans="1:37" ht="30.75" customHeight="1" thickBot="1" x14ac:dyDescent="0.2">
      <c r="A42" s="100">
        <v>12</v>
      </c>
      <c r="B42" s="101" t="s">
        <v>46</v>
      </c>
      <c r="C42" s="27">
        <f>C43+C44</f>
        <v>4988134</v>
      </c>
      <c r="D42" s="27">
        <f>D43+D44</f>
        <v>4988134</v>
      </c>
      <c r="E42" s="175">
        <f>D42-C42</f>
        <v>0</v>
      </c>
      <c r="F42" s="175"/>
      <c r="G42" s="27">
        <f t="shared" ref="G42:Y42" si="12">G43+G44</f>
        <v>997626.8</v>
      </c>
      <c r="H42" s="27">
        <f t="shared" si="12"/>
        <v>997627</v>
      </c>
      <c r="I42" s="175">
        <f t="shared" si="3"/>
        <v>0.19999999995343387</v>
      </c>
      <c r="J42" s="175"/>
      <c r="K42" s="27">
        <f t="shared" si="12"/>
        <v>8055070</v>
      </c>
      <c r="L42" s="27"/>
      <c r="M42" s="175">
        <f t="shared" si="4"/>
        <v>-8055070</v>
      </c>
      <c r="N42" s="175"/>
      <c r="O42" s="27">
        <f t="shared" si="12"/>
        <v>1600000</v>
      </c>
      <c r="P42" s="27">
        <f>P43+P44</f>
        <v>1605000</v>
      </c>
      <c r="Q42" s="175"/>
      <c r="R42" s="175"/>
      <c r="S42" s="27">
        <f t="shared" si="12"/>
        <v>750000</v>
      </c>
      <c r="T42" s="27">
        <f t="shared" si="12"/>
        <v>750000</v>
      </c>
      <c r="U42" s="27">
        <f t="shared" si="12"/>
        <v>600000</v>
      </c>
      <c r="V42" s="27">
        <f t="shared" si="12"/>
        <v>600000</v>
      </c>
      <c r="W42" s="175"/>
      <c r="X42" s="175"/>
      <c r="Y42" s="27">
        <f t="shared" si="12"/>
        <v>0</v>
      </c>
      <c r="Z42" s="27"/>
      <c r="AA42" s="31">
        <f t="shared" si="6"/>
        <v>16990830.800000001</v>
      </c>
      <c r="AB42" s="31">
        <f>AB43+AB44</f>
        <v>21327669</v>
      </c>
      <c r="AC42" s="27"/>
      <c r="AD42" s="27">
        <f>SUM(AD43:AD44)</f>
        <v>100000</v>
      </c>
      <c r="AE42" s="27">
        <f>SUM(AE43:AE44)</f>
        <v>300000</v>
      </c>
      <c r="AF42" s="196">
        <f t="shared" si="8"/>
        <v>200000</v>
      </c>
      <c r="AG42" s="175"/>
      <c r="AH42" s="27">
        <f t="shared" ref="AH42:AJ42" si="13">SUM(AH43:AH44)</f>
        <v>0</v>
      </c>
      <c r="AI42" s="27">
        <f t="shared" si="13"/>
        <v>0</v>
      </c>
      <c r="AJ42" s="27">
        <f t="shared" si="13"/>
        <v>0</v>
      </c>
    </row>
    <row r="43" spans="1:37" ht="12.75" customHeight="1" thickBot="1" x14ac:dyDescent="0.25">
      <c r="A43" s="102"/>
      <c r="B43" s="103" t="s">
        <v>14</v>
      </c>
      <c r="C43" s="30">
        <f>C48+C49+C52+C53+C54</f>
        <v>4988134</v>
      </c>
      <c r="D43" s="30">
        <f>D48+D49+D52+D53+D54</f>
        <v>4988134</v>
      </c>
      <c r="E43" s="175">
        <f t="shared" ref="E43:E54" si="14">D43-C43</f>
        <v>0</v>
      </c>
      <c r="F43" s="182"/>
      <c r="G43" s="30">
        <f t="shared" ref="G43:Y43" si="15">G48+G49+G52+G53+G54</f>
        <v>997626.8</v>
      </c>
      <c r="H43" s="30">
        <f t="shared" si="15"/>
        <v>997627</v>
      </c>
      <c r="I43" s="175">
        <f t="shared" si="3"/>
        <v>0.19999999995343387</v>
      </c>
      <c r="J43" s="182"/>
      <c r="K43" s="30">
        <f t="shared" si="15"/>
        <v>4320000</v>
      </c>
      <c r="L43" s="30">
        <f t="shared" si="15"/>
        <v>4320000</v>
      </c>
      <c r="M43" s="175">
        <f t="shared" si="4"/>
        <v>0</v>
      </c>
      <c r="N43" s="182"/>
      <c r="O43" s="30">
        <f t="shared" si="15"/>
        <v>1600000</v>
      </c>
      <c r="P43" s="30">
        <f>P48+P49+P52+P53+P54</f>
        <v>1605000</v>
      </c>
      <c r="Q43" s="182"/>
      <c r="R43" s="182"/>
      <c r="S43" s="30">
        <f t="shared" si="15"/>
        <v>750000</v>
      </c>
      <c r="T43" s="30">
        <f t="shared" si="15"/>
        <v>750000</v>
      </c>
      <c r="U43" s="30">
        <f t="shared" si="15"/>
        <v>0</v>
      </c>
      <c r="V43" s="30">
        <f t="shared" si="15"/>
        <v>0</v>
      </c>
      <c r="W43" s="182"/>
      <c r="X43" s="182"/>
      <c r="Y43" s="30">
        <f t="shared" si="15"/>
        <v>0</v>
      </c>
      <c r="Z43" s="30"/>
      <c r="AA43" s="31">
        <f>AA48+AA49+AA52+AA53+AA54</f>
        <v>12655760.800000001</v>
      </c>
      <c r="AB43" s="31">
        <f>AB48+AB49+AB52+AB53+AB54</f>
        <v>12660761</v>
      </c>
      <c r="AC43" s="30"/>
      <c r="AD43" s="30">
        <f>AD49+AD52+AD53+AD54+AD48</f>
        <v>100000</v>
      </c>
      <c r="AE43" s="30">
        <f>AE49+AE52+AE53+AE54+AE48</f>
        <v>300000</v>
      </c>
      <c r="AF43" s="196">
        <f t="shared" si="8"/>
        <v>200000</v>
      </c>
      <c r="AG43" s="182"/>
      <c r="AH43" s="30">
        <f t="shared" ref="AH43:AJ43" si="16">AH49+AH52+AH53+AH54+AH48</f>
        <v>0</v>
      </c>
      <c r="AI43" s="30">
        <f t="shared" si="16"/>
        <v>0</v>
      </c>
      <c r="AJ43" s="30">
        <f t="shared" si="16"/>
        <v>0</v>
      </c>
    </row>
    <row r="44" spans="1:37" ht="15.75" customHeight="1" thickBot="1" x14ac:dyDescent="0.25">
      <c r="A44" s="102"/>
      <c r="B44" s="104" t="s">
        <v>15</v>
      </c>
      <c r="C44" s="105">
        <f>C45+C46+C50+C47+C51</f>
        <v>0</v>
      </c>
      <c r="D44" s="105">
        <f>D45+D46+D50+D47+D51</f>
        <v>0</v>
      </c>
      <c r="E44" s="175">
        <f t="shared" si="14"/>
        <v>0</v>
      </c>
      <c r="F44" s="183"/>
      <c r="G44" s="105">
        <f t="shared" ref="G44:Y44" si="17">G45+G46+G50+G51</f>
        <v>0</v>
      </c>
      <c r="H44" s="105"/>
      <c r="I44" s="175">
        <f t="shared" si="3"/>
        <v>0</v>
      </c>
      <c r="J44" s="179"/>
      <c r="K44" s="105">
        <f t="shared" si="17"/>
        <v>3735070</v>
      </c>
      <c r="L44" s="105">
        <f>L45+L46+L50+L51+L47</f>
        <v>8066908</v>
      </c>
      <c r="M44" s="175">
        <f t="shared" si="4"/>
        <v>4331838</v>
      </c>
      <c r="N44" s="179"/>
      <c r="O44" s="105">
        <f t="shared" si="17"/>
        <v>0</v>
      </c>
      <c r="P44" s="105"/>
      <c r="Q44" s="179"/>
      <c r="R44" s="179"/>
      <c r="S44" s="105">
        <f t="shared" si="17"/>
        <v>0</v>
      </c>
      <c r="T44" s="105"/>
      <c r="U44" s="105">
        <f t="shared" si="17"/>
        <v>600000</v>
      </c>
      <c r="V44" s="105">
        <f t="shared" si="17"/>
        <v>600000</v>
      </c>
      <c r="W44" s="179"/>
      <c r="X44" s="179"/>
      <c r="Y44" s="105">
        <f t="shared" si="17"/>
        <v>0</v>
      </c>
      <c r="Z44" s="105"/>
      <c r="AA44" s="31">
        <f t="shared" si="6"/>
        <v>4335070</v>
      </c>
      <c r="AB44" s="31">
        <f t="shared" si="6"/>
        <v>8666908</v>
      </c>
      <c r="AC44" s="105"/>
      <c r="AD44" s="105">
        <f>AD45+AD46+AD50+AD51</f>
        <v>0</v>
      </c>
      <c r="AE44" s="105"/>
      <c r="AF44" s="196">
        <f t="shared" si="8"/>
        <v>0</v>
      </c>
      <c r="AG44" s="179"/>
      <c r="AH44" s="105">
        <f t="shared" ref="AH44:AJ44" si="18">AH45+AH46+AH50+AH51</f>
        <v>0</v>
      </c>
      <c r="AI44" s="105">
        <f t="shared" si="18"/>
        <v>0</v>
      </c>
      <c r="AJ44" s="105">
        <f t="shared" si="18"/>
        <v>0</v>
      </c>
    </row>
    <row r="45" spans="1:37" ht="12" customHeight="1" thickBot="1" x14ac:dyDescent="0.25">
      <c r="A45" s="106"/>
      <c r="B45" s="107" t="s">
        <v>47</v>
      </c>
      <c r="C45" s="108">
        <v>0</v>
      </c>
      <c r="D45" s="108">
        <v>0</v>
      </c>
      <c r="E45" s="175">
        <f t="shared" si="14"/>
        <v>0</v>
      </c>
      <c r="F45" s="182"/>
      <c r="G45" s="108"/>
      <c r="H45" s="108"/>
      <c r="I45" s="175">
        <f t="shared" si="3"/>
        <v>0</v>
      </c>
      <c r="J45" s="198"/>
      <c r="K45" s="109">
        <f>666750+88900</f>
        <v>755650</v>
      </c>
      <c r="L45" s="109">
        <f>666750+88900</f>
        <v>755650</v>
      </c>
      <c r="M45" s="175">
        <f t="shared" si="4"/>
        <v>0</v>
      </c>
      <c r="N45" s="213"/>
      <c r="O45" s="109">
        <v>0</v>
      </c>
      <c r="P45" s="109"/>
      <c r="Q45" s="213"/>
      <c r="R45" s="213"/>
      <c r="S45" s="108">
        <v>0</v>
      </c>
      <c r="T45" s="108"/>
      <c r="U45" s="108"/>
      <c r="V45" s="108"/>
      <c r="W45" s="198"/>
      <c r="X45" s="198"/>
      <c r="Y45" s="108"/>
      <c r="Z45" s="108"/>
      <c r="AA45" s="31">
        <f>C45+G45+K45+O45+S45+U45+Y45</f>
        <v>755650</v>
      </c>
      <c r="AB45" s="31">
        <f>D45+H45+L45+P45+T45+V45+Z45</f>
        <v>755650</v>
      </c>
      <c r="AC45" s="110"/>
      <c r="AD45" s="108"/>
      <c r="AE45" s="108"/>
      <c r="AF45" s="196">
        <f t="shared" si="8"/>
        <v>0</v>
      </c>
      <c r="AG45" s="198"/>
      <c r="AH45" s="108"/>
      <c r="AI45" s="108"/>
      <c r="AJ45" s="108"/>
    </row>
    <row r="46" spans="1:37" ht="12" customHeight="1" thickBot="1" x14ac:dyDescent="0.25">
      <c r="A46" s="106"/>
      <c r="B46" s="111" t="s">
        <v>48</v>
      </c>
      <c r="C46" s="112"/>
      <c r="D46" s="112"/>
      <c r="E46" s="175">
        <f t="shared" si="14"/>
        <v>0</v>
      </c>
      <c r="F46" s="182"/>
      <c r="G46" s="112"/>
      <c r="H46" s="112"/>
      <c r="I46" s="175">
        <f t="shared" si="3"/>
        <v>0</v>
      </c>
      <c r="J46" s="199"/>
      <c r="K46" s="113">
        <f>2628900+350520</f>
        <v>2979420</v>
      </c>
      <c r="L46" s="113">
        <f>2628900+350520</f>
        <v>2979420</v>
      </c>
      <c r="M46" s="175">
        <f t="shared" si="4"/>
        <v>0</v>
      </c>
      <c r="N46" s="214"/>
      <c r="O46" s="113"/>
      <c r="P46" s="113"/>
      <c r="Q46" s="214"/>
      <c r="R46" s="214"/>
      <c r="S46" s="112"/>
      <c r="T46" s="112"/>
      <c r="U46" s="112"/>
      <c r="V46" s="112"/>
      <c r="W46" s="199"/>
      <c r="X46" s="199"/>
      <c r="Y46" s="112"/>
      <c r="Z46" s="112"/>
      <c r="AA46" s="31">
        <f t="shared" si="6"/>
        <v>2979420</v>
      </c>
      <c r="AB46" s="31">
        <f t="shared" si="5"/>
        <v>2979420</v>
      </c>
      <c r="AC46" s="114"/>
      <c r="AD46" s="112"/>
      <c r="AE46" s="112"/>
      <c r="AF46" s="196">
        <f t="shared" si="8"/>
        <v>0</v>
      </c>
      <c r="AG46" s="199"/>
      <c r="AH46" s="112"/>
      <c r="AI46" s="112"/>
      <c r="AJ46" s="112"/>
    </row>
    <row r="47" spans="1:37" ht="72" customHeight="1" thickBot="1" x14ac:dyDescent="0.25">
      <c r="A47" s="106"/>
      <c r="B47" s="111" t="s">
        <v>74</v>
      </c>
      <c r="C47" s="112"/>
      <c r="D47" s="112"/>
      <c r="E47" s="175"/>
      <c r="F47" s="182"/>
      <c r="G47" s="112"/>
      <c r="H47" s="112"/>
      <c r="I47" s="175">
        <f t="shared" si="3"/>
        <v>0</v>
      </c>
      <c r="J47" s="199"/>
      <c r="K47" s="113">
        <v>0</v>
      </c>
      <c r="L47" s="113">
        <f>3108960+304800</f>
        <v>3413760</v>
      </c>
      <c r="M47" s="175">
        <f t="shared" si="4"/>
        <v>3413760</v>
      </c>
      <c r="N47" s="222" t="s">
        <v>94</v>
      </c>
      <c r="O47" s="113"/>
      <c r="P47" s="113"/>
      <c r="Q47" s="214"/>
      <c r="R47" s="214"/>
      <c r="S47" s="112"/>
      <c r="T47" s="112"/>
      <c r="U47" s="112"/>
      <c r="V47" s="112"/>
      <c r="W47" s="199"/>
      <c r="X47" s="199"/>
      <c r="Y47" s="112"/>
      <c r="Z47" s="112"/>
      <c r="AA47" s="31">
        <f t="shared" si="6"/>
        <v>0</v>
      </c>
      <c r="AB47" s="31">
        <f t="shared" si="5"/>
        <v>3413760</v>
      </c>
      <c r="AC47" s="114"/>
      <c r="AD47" s="112"/>
      <c r="AE47" s="112"/>
      <c r="AF47" s="196">
        <f t="shared" si="8"/>
        <v>0</v>
      </c>
      <c r="AG47" s="199"/>
      <c r="AH47" s="112"/>
      <c r="AI47" s="112"/>
      <c r="AJ47" s="112"/>
    </row>
    <row r="48" spans="1:37" ht="12" customHeight="1" thickBot="1" x14ac:dyDescent="0.25">
      <c r="A48" s="106"/>
      <c r="B48" s="115" t="s">
        <v>49</v>
      </c>
      <c r="C48" s="50"/>
      <c r="D48" s="50"/>
      <c r="E48" s="175">
        <f t="shared" si="14"/>
        <v>0</v>
      </c>
      <c r="F48" s="182"/>
      <c r="G48" s="50"/>
      <c r="H48" s="50"/>
      <c r="I48" s="175">
        <f t="shared" si="3"/>
        <v>0</v>
      </c>
      <c r="J48" s="191"/>
      <c r="K48" s="51">
        <v>2220000</v>
      </c>
      <c r="L48" s="51">
        <v>2220000</v>
      </c>
      <c r="M48" s="175">
        <f t="shared" si="4"/>
        <v>0</v>
      </c>
      <c r="N48" s="206"/>
      <c r="O48" s="51"/>
      <c r="P48" s="51"/>
      <c r="Q48" s="206"/>
      <c r="R48" s="206"/>
      <c r="S48" s="50"/>
      <c r="T48" s="50"/>
      <c r="U48" s="50"/>
      <c r="V48" s="50"/>
      <c r="W48" s="191"/>
      <c r="X48" s="191"/>
      <c r="Y48" s="50"/>
      <c r="Z48" s="50"/>
      <c r="AA48" s="31">
        <f t="shared" si="6"/>
        <v>2220000</v>
      </c>
      <c r="AB48" s="31">
        <f t="shared" si="5"/>
        <v>2220000</v>
      </c>
      <c r="AC48" s="52"/>
      <c r="AD48" s="50"/>
      <c r="AE48" s="50"/>
      <c r="AF48" s="196">
        <f t="shared" si="8"/>
        <v>0</v>
      </c>
      <c r="AG48" s="191"/>
      <c r="AH48" s="50"/>
      <c r="AI48" s="50"/>
      <c r="AJ48" s="50"/>
    </row>
    <row r="49" spans="1:37" ht="17.25" customHeight="1" thickBot="1" x14ac:dyDescent="0.25">
      <c r="A49" s="116"/>
      <c r="B49" s="115" t="s">
        <v>50</v>
      </c>
      <c r="C49" s="50">
        <v>0</v>
      </c>
      <c r="D49" s="50">
        <v>0</v>
      </c>
      <c r="E49" s="175">
        <f t="shared" si="14"/>
        <v>0</v>
      </c>
      <c r="F49" s="182"/>
      <c r="G49" s="50"/>
      <c r="H49" s="50"/>
      <c r="I49" s="175">
        <f t="shared" si="3"/>
        <v>0</v>
      </c>
      <c r="J49" s="191"/>
      <c r="K49" s="51"/>
      <c r="L49" s="51"/>
      <c r="M49" s="175">
        <f t="shared" si="4"/>
        <v>0</v>
      </c>
      <c r="N49" s="206"/>
      <c r="O49" s="51">
        <v>1500000</v>
      </c>
      <c r="P49" s="51">
        <v>1500000</v>
      </c>
      <c r="Q49" s="206"/>
      <c r="R49" s="206"/>
      <c r="S49" s="50"/>
      <c r="T49" s="50"/>
      <c r="U49" s="50"/>
      <c r="V49" s="50"/>
      <c r="W49" s="191"/>
      <c r="X49" s="191"/>
      <c r="Y49" s="50"/>
      <c r="Z49" s="50"/>
      <c r="AA49" s="31">
        <f t="shared" si="6"/>
        <v>1500000</v>
      </c>
      <c r="AB49" s="31">
        <f t="shared" si="5"/>
        <v>1500000</v>
      </c>
      <c r="AC49" s="52"/>
      <c r="AD49" s="50"/>
      <c r="AE49" s="50"/>
      <c r="AF49" s="196">
        <f t="shared" si="8"/>
        <v>0</v>
      </c>
      <c r="AG49" s="191"/>
      <c r="AH49" s="50"/>
      <c r="AI49" s="50"/>
      <c r="AJ49" s="50"/>
    </row>
    <row r="50" spans="1:37" ht="60.75" customHeight="1" thickBot="1" x14ac:dyDescent="0.25">
      <c r="A50" s="116"/>
      <c r="B50" s="111" t="s">
        <v>51</v>
      </c>
      <c r="C50" s="112"/>
      <c r="D50" s="112"/>
      <c r="E50" s="175">
        <f t="shared" si="14"/>
        <v>0</v>
      </c>
      <c r="F50" s="182"/>
      <c r="G50" s="112"/>
      <c r="H50" s="112"/>
      <c r="I50" s="175">
        <f t="shared" si="3"/>
        <v>0</v>
      </c>
      <c r="J50" s="199"/>
      <c r="K50" s="113">
        <v>0</v>
      </c>
      <c r="L50" s="113">
        <v>918078</v>
      </c>
      <c r="M50" s="175">
        <f t="shared" si="4"/>
        <v>918078</v>
      </c>
      <c r="N50" s="222" t="s">
        <v>95</v>
      </c>
      <c r="O50" s="113"/>
      <c r="P50" s="113"/>
      <c r="Q50" s="214"/>
      <c r="R50" s="214"/>
      <c r="S50" s="112"/>
      <c r="T50" s="112"/>
      <c r="U50" s="112"/>
      <c r="V50" s="112"/>
      <c r="W50" s="199"/>
      <c r="X50" s="199"/>
      <c r="Y50" s="112"/>
      <c r="Z50" s="112"/>
      <c r="AA50" s="31">
        <f t="shared" si="6"/>
        <v>0</v>
      </c>
      <c r="AB50" s="31">
        <f t="shared" si="5"/>
        <v>918078</v>
      </c>
      <c r="AC50" s="114"/>
      <c r="AD50" s="112"/>
      <c r="AE50" s="112"/>
      <c r="AF50" s="196">
        <f t="shared" si="8"/>
        <v>0</v>
      </c>
      <c r="AG50" s="199"/>
      <c r="AH50" s="112"/>
      <c r="AI50" s="112"/>
      <c r="AJ50" s="112"/>
    </row>
    <row r="51" spans="1:37" ht="13.5" customHeight="1" thickBot="1" x14ac:dyDescent="0.25">
      <c r="A51" s="106"/>
      <c r="B51" s="111" t="s">
        <v>52</v>
      </c>
      <c r="C51" s="112"/>
      <c r="D51" s="112"/>
      <c r="E51" s="175">
        <f t="shared" si="14"/>
        <v>0</v>
      </c>
      <c r="F51" s="182"/>
      <c r="G51" s="112"/>
      <c r="H51" s="112"/>
      <c r="I51" s="175">
        <f t="shared" si="3"/>
        <v>0</v>
      </c>
      <c r="J51" s="199"/>
      <c r="K51" s="113"/>
      <c r="L51" s="113"/>
      <c r="M51" s="175">
        <f t="shared" si="4"/>
        <v>0</v>
      </c>
      <c r="N51" s="214"/>
      <c r="O51" s="113"/>
      <c r="P51" s="113"/>
      <c r="Q51" s="214"/>
      <c r="R51" s="214"/>
      <c r="S51" s="112"/>
      <c r="T51" s="112"/>
      <c r="U51" s="112">
        <v>600000</v>
      </c>
      <c r="V51" s="112">
        <v>600000</v>
      </c>
      <c r="W51" s="199"/>
      <c r="X51" s="199"/>
      <c r="Y51" s="112"/>
      <c r="Z51" s="112"/>
      <c r="AA51" s="31">
        <f t="shared" si="6"/>
        <v>600000</v>
      </c>
      <c r="AB51" s="31">
        <f t="shared" si="5"/>
        <v>600000</v>
      </c>
      <c r="AC51" s="114"/>
      <c r="AD51" s="112"/>
      <c r="AE51" s="112"/>
      <c r="AF51" s="196">
        <f t="shared" si="8"/>
        <v>0</v>
      </c>
      <c r="AG51" s="199"/>
      <c r="AH51" s="112"/>
      <c r="AI51" s="112"/>
      <c r="AJ51" s="112"/>
    </row>
    <row r="52" spans="1:37" ht="33" customHeight="1" thickBot="1" x14ac:dyDescent="0.25">
      <c r="A52" s="106"/>
      <c r="B52" s="115" t="s">
        <v>53</v>
      </c>
      <c r="C52" s="50"/>
      <c r="D52" s="50"/>
      <c r="E52" s="175">
        <f t="shared" si="14"/>
        <v>0</v>
      </c>
      <c r="F52" s="182"/>
      <c r="G52" s="50"/>
      <c r="H52" s="50"/>
      <c r="I52" s="175">
        <f t="shared" si="3"/>
        <v>0</v>
      </c>
      <c r="J52" s="191"/>
      <c r="K52" s="51"/>
      <c r="L52" s="51"/>
      <c r="M52" s="175">
        <f t="shared" si="4"/>
        <v>0</v>
      </c>
      <c r="N52" s="206"/>
      <c r="O52" s="51">
        <v>100000</v>
      </c>
      <c r="P52" s="51">
        <v>105000</v>
      </c>
      <c r="Q52" s="206">
        <f>P52-O52</f>
        <v>5000</v>
      </c>
      <c r="R52" s="224" t="s">
        <v>73</v>
      </c>
      <c r="S52" s="50"/>
      <c r="T52" s="50"/>
      <c r="U52" s="50"/>
      <c r="V52" s="50"/>
      <c r="W52" s="191"/>
      <c r="X52" s="191"/>
      <c r="Y52" s="50"/>
      <c r="Z52" s="50"/>
      <c r="AA52" s="31">
        <f t="shared" si="6"/>
        <v>100000</v>
      </c>
      <c r="AB52" s="31">
        <f t="shared" si="5"/>
        <v>105000</v>
      </c>
      <c r="AC52" s="52"/>
      <c r="AD52" s="50"/>
      <c r="AE52" s="50"/>
      <c r="AF52" s="196">
        <f t="shared" si="8"/>
        <v>0</v>
      </c>
      <c r="AG52" s="191"/>
      <c r="AH52" s="50"/>
      <c r="AI52" s="50"/>
      <c r="AJ52" s="50"/>
    </row>
    <row r="53" spans="1:37" ht="12" customHeight="1" thickBot="1" x14ac:dyDescent="0.25">
      <c r="A53" s="116"/>
      <c r="B53" s="117" t="s">
        <v>54</v>
      </c>
      <c r="C53" s="50">
        <f>297657*11+283157+97500*11+90250+250000+18000</f>
        <v>4988134</v>
      </c>
      <c r="D53" s="50">
        <f>297657*11+283157+97500*11+90250+250000+18000</f>
        <v>4988134</v>
      </c>
      <c r="E53" s="175">
        <f t="shared" si="14"/>
        <v>0</v>
      </c>
      <c r="F53" s="182"/>
      <c r="G53" s="50">
        <f>C53*20%</f>
        <v>997626.8</v>
      </c>
      <c r="H53" s="50">
        <v>997627</v>
      </c>
      <c r="I53" s="175">
        <f t="shared" si="3"/>
        <v>0.19999999995343387</v>
      </c>
      <c r="J53" s="191"/>
      <c r="K53" s="51">
        <v>900000</v>
      </c>
      <c r="L53" s="51">
        <v>900000</v>
      </c>
      <c r="M53" s="175">
        <f t="shared" si="4"/>
        <v>0</v>
      </c>
      <c r="N53" s="206"/>
      <c r="O53" s="51"/>
      <c r="P53" s="51"/>
      <c r="Q53" s="206"/>
      <c r="R53" s="206"/>
      <c r="S53" s="50"/>
      <c r="T53" s="50"/>
      <c r="U53" s="50"/>
      <c r="V53" s="50"/>
      <c r="W53" s="191"/>
      <c r="X53" s="191"/>
      <c r="Y53" s="50"/>
      <c r="Z53" s="50"/>
      <c r="AA53" s="31">
        <f t="shared" si="6"/>
        <v>6885760.7999999998</v>
      </c>
      <c r="AB53" s="31">
        <f t="shared" si="5"/>
        <v>6885761</v>
      </c>
      <c r="AC53" s="52"/>
      <c r="AD53" s="48">
        <f>100000</f>
        <v>100000</v>
      </c>
      <c r="AE53" s="48">
        <v>100000</v>
      </c>
      <c r="AF53" s="196">
        <f t="shared" si="8"/>
        <v>0</v>
      </c>
      <c r="AG53" s="191"/>
      <c r="AH53" s="50"/>
      <c r="AI53" s="50"/>
      <c r="AJ53" s="50"/>
    </row>
    <row r="54" spans="1:37" ht="12.75" customHeight="1" thickBot="1" x14ac:dyDescent="0.25">
      <c r="A54" s="118"/>
      <c r="B54" s="119" t="s">
        <v>55</v>
      </c>
      <c r="C54" s="53">
        <v>0</v>
      </c>
      <c r="D54" s="53">
        <v>0</v>
      </c>
      <c r="E54" s="175">
        <f t="shared" si="14"/>
        <v>0</v>
      </c>
      <c r="F54" s="183"/>
      <c r="G54" s="53"/>
      <c r="H54" s="53"/>
      <c r="I54" s="175">
        <f t="shared" si="3"/>
        <v>0</v>
      </c>
      <c r="J54" s="192"/>
      <c r="K54" s="55">
        <f>1200000</f>
        <v>1200000</v>
      </c>
      <c r="L54" s="55">
        <f>1200000</f>
        <v>1200000</v>
      </c>
      <c r="M54" s="175">
        <f t="shared" si="4"/>
        <v>0</v>
      </c>
      <c r="N54" s="207"/>
      <c r="O54" s="55"/>
      <c r="P54" s="55"/>
      <c r="Q54" s="207"/>
      <c r="R54" s="207"/>
      <c r="S54" s="53">
        <f>62500*12</f>
        <v>750000</v>
      </c>
      <c r="T54" s="53">
        <f>62500*12</f>
        <v>750000</v>
      </c>
      <c r="U54" s="53"/>
      <c r="V54" s="53"/>
      <c r="W54" s="192"/>
      <c r="X54" s="192"/>
      <c r="Y54" s="53"/>
      <c r="Z54" s="53"/>
      <c r="AA54" s="31">
        <f t="shared" si="6"/>
        <v>1950000</v>
      </c>
      <c r="AB54" s="31">
        <f t="shared" si="5"/>
        <v>1950000</v>
      </c>
      <c r="AC54" s="58"/>
      <c r="AD54" s="53">
        <v>0</v>
      </c>
      <c r="AE54" s="53">
        <v>200000</v>
      </c>
      <c r="AF54" s="196">
        <f t="shared" si="8"/>
        <v>200000</v>
      </c>
      <c r="AG54" s="192" t="s">
        <v>115</v>
      </c>
      <c r="AH54" s="53"/>
      <c r="AI54" s="55"/>
      <c r="AJ54" s="55"/>
    </row>
    <row r="55" spans="1:37" s="121" customFormat="1" ht="12.75" customHeight="1" thickBot="1" x14ac:dyDescent="0.2">
      <c r="A55" s="120">
        <v>13</v>
      </c>
      <c r="B55" s="80" t="s">
        <v>56</v>
      </c>
      <c r="C55" s="81">
        <f>C56</f>
        <v>13506660</v>
      </c>
      <c r="D55" s="81">
        <f>D56</f>
        <v>13506660</v>
      </c>
      <c r="E55" s="176">
        <f>D55-C55</f>
        <v>0</v>
      </c>
      <c r="F55" s="176"/>
      <c r="G55" s="81">
        <f>G56</f>
        <v>1316871</v>
      </c>
      <c r="H55" s="81">
        <f t="shared" ref="H55:L55" si="19">H56</f>
        <v>1316871</v>
      </c>
      <c r="I55" s="175">
        <f t="shared" si="3"/>
        <v>0</v>
      </c>
      <c r="J55" s="176"/>
      <c r="K55" s="81">
        <f t="shared" si="19"/>
        <v>24116533</v>
      </c>
      <c r="L55" s="81">
        <f t="shared" si="19"/>
        <v>24116533</v>
      </c>
      <c r="M55" s="175">
        <f t="shared" si="4"/>
        <v>0</v>
      </c>
      <c r="N55" s="176"/>
      <c r="O55" s="81">
        <f t="shared" ref="O55:Y55" si="20">+O56</f>
        <v>0</v>
      </c>
      <c r="P55" s="81"/>
      <c r="Q55" s="176"/>
      <c r="R55" s="176"/>
      <c r="S55" s="81">
        <f t="shared" si="20"/>
        <v>0</v>
      </c>
      <c r="T55" s="81"/>
      <c r="U55" s="81">
        <f t="shared" si="20"/>
        <v>0</v>
      </c>
      <c r="V55" s="81">
        <f t="shared" si="20"/>
        <v>0</v>
      </c>
      <c r="W55" s="176"/>
      <c r="X55" s="176"/>
      <c r="Y55" s="81">
        <f t="shared" si="20"/>
        <v>0</v>
      </c>
      <c r="Z55" s="81"/>
      <c r="AA55" s="31">
        <f t="shared" si="6"/>
        <v>38940064</v>
      </c>
      <c r="AB55" s="31">
        <f t="shared" si="5"/>
        <v>38940064</v>
      </c>
      <c r="AC55" s="81"/>
      <c r="AD55" s="81">
        <f>AD56</f>
        <v>0</v>
      </c>
      <c r="AE55" s="81">
        <f>AE56</f>
        <v>1000000</v>
      </c>
      <c r="AF55" s="196">
        <f t="shared" si="8"/>
        <v>1000000</v>
      </c>
      <c r="AG55" s="176"/>
      <c r="AH55" s="81"/>
      <c r="AI55" s="81"/>
      <c r="AJ55" s="81"/>
    </row>
    <row r="56" spans="1:37" ht="35.25" customHeight="1" thickBot="1" x14ac:dyDescent="0.25">
      <c r="A56" s="65"/>
      <c r="B56" s="122" t="s">
        <v>57</v>
      </c>
      <c r="C56" s="123">
        <v>13506660</v>
      </c>
      <c r="D56" s="123">
        <v>13506660</v>
      </c>
      <c r="E56" s="176">
        <f t="shared" ref="E56:E66" si="21">D56-C56</f>
        <v>0</v>
      </c>
      <c r="F56" s="183"/>
      <c r="G56" s="123">
        <v>1316871</v>
      </c>
      <c r="H56" s="123">
        <v>1316871</v>
      </c>
      <c r="I56" s="175">
        <f t="shared" si="3"/>
        <v>0</v>
      </c>
      <c r="J56" s="200"/>
      <c r="K56" s="124">
        <f>19544533+(381000*12)</f>
        <v>24116533</v>
      </c>
      <c r="L56" s="124">
        <f>19544533+(381000*12)</f>
        <v>24116533</v>
      </c>
      <c r="M56" s="175">
        <f t="shared" si="4"/>
        <v>0</v>
      </c>
      <c r="N56" s="215"/>
      <c r="O56" s="124"/>
      <c r="P56" s="124"/>
      <c r="Q56" s="215"/>
      <c r="R56" s="215"/>
      <c r="S56" s="123"/>
      <c r="T56" s="123"/>
      <c r="U56" s="123"/>
      <c r="V56" s="123"/>
      <c r="W56" s="200"/>
      <c r="X56" s="200"/>
      <c r="Y56" s="123"/>
      <c r="Z56" s="123"/>
      <c r="AA56" s="31">
        <f t="shared" si="6"/>
        <v>38940064</v>
      </c>
      <c r="AB56" s="31">
        <f t="shared" si="5"/>
        <v>38940064</v>
      </c>
      <c r="AC56" s="125"/>
      <c r="AD56" s="123">
        <v>0</v>
      </c>
      <c r="AE56" s="123">
        <v>1000000</v>
      </c>
      <c r="AF56" s="196">
        <f t="shared" si="8"/>
        <v>1000000</v>
      </c>
      <c r="AG56" s="237" t="s">
        <v>73</v>
      </c>
      <c r="AH56" s="123"/>
      <c r="AI56" s="123"/>
      <c r="AJ56" s="123"/>
    </row>
    <row r="57" spans="1:37" ht="26.25" customHeight="1" thickBot="1" x14ac:dyDescent="0.2">
      <c r="A57" s="106">
        <v>14</v>
      </c>
      <c r="B57" s="74" t="s">
        <v>58</v>
      </c>
      <c r="C57" s="60">
        <f>7009642+45000*10</f>
        <v>7459642</v>
      </c>
      <c r="D57" s="60">
        <f>7009642+45000*10</f>
        <v>7459642</v>
      </c>
      <c r="E57" s="176">
        <f t="shared" si="21"/>
        <v>0</v>
      </c>
      <c r="F57" s="176"/>
      <c r="G57" s="60">
        <f>C57*20%</f>
        <v>1491928.4000000001</v>
      </c>
      <c r="H57" s="60">
        <v>1491928</v>
      </c>
      <c r="I57" s="175">
        <f t="shared" si="3"/>
        <v>-0.40000000013969839</v>
      </c>
      <c r="J57" s="193"/>
      <c r="K57" s="61">
        <v>4000000</v>
      </c>
      <c r="L57" s="61">
        <v>4000000</v>
      </c>
      <c r="M57" s="175">
        <f t="shared" si="4"/>
        <v>0</v>
      </c>
      <c r="N57" s="208"/>
      <c r="O57" s="61"/>
      <c r="P57" s="61"/>
      <c r="Q57" s="208"/>
      <c r="R57" s="208"/>
      <c r="S57" s="60"/>
      <c r="T57" s="60"/>
      <c r="U57" s="60">
        <v>0</v>
      </c>
      <c r="V57" s="60">
        <v>0</v>
      </c>
      <c r="W57" s="193"/>
      <c r="X57" s="193"/>
      <c r="Y57" s="60"/>
      <c r="Z57" s="60"/>
      <c r="AA57" s="31">
        <f t="shared" si="6"/>
        <v>12951570.4</v>
      </c>
      <c r="AB57" s="31">
        <f t="shared" si="5"/>
        <v>12951570</v>
      </c>
      <c r="AC57" s="62"/>
      <c r="AD57" s="64">
        <v>1500000</v>
      </c>
      <c r="AE57" s="64">
        <v>1500000</v>
      </c>
      <c r="AF57" s="196">
        <f t="shared" si="8"/>
        <v>0</v>
      </c>
      <c r="AG57" s="193"/>
      <c r="AH57" s="60"/>
      <c r="AI57" s="60"/>
      <c r="AJ57" s="60"/>
    </row>
    <row r="58" spans="1:37" ht="26.25" customHeight="1" thickBot="1" x14ac:dyDescent="0.2">
      <c r="A58" s="126"/>
      <c r="B58" s="127" t="s">
        <v>59</v>
      </c>
      <c r="C58" s="128">
        <v>2794160</v>
      </c>
      <c r="D58" s="128">
        <v>2794160</v>
      </c>
      <c r="E58" s="176">
        <f t="shared" si="21"/>
        <v>0</v>
      </c>
      <c r="F58" s="176"/>
      <c r="G58" s="128">
        <f>C58*20%</f>
        <v>558832</v>
      </c>
      <c r="H58" s="128">
        <v>558832</v>
      </c>
      <c r="I58" s="175">
        <f t="shared" si="3"/>
        <v>0</v>
      </c>
      <c r="J58" s="201"/>
      <c r="K58" s="129">
        <v>500000</v>
      </c>
      <c r="L58" s="129">
        <v>500000</v>
      </c>
      <c r="M58" s="175">
        <f t="shared" si="4"/>
        <v>0</v>
      </c>
      <c r="N58" s="216"/>
      <c r="O58" s="129"/>
      <c r="P58" s="129"/>
      <c r="Q58" s="216"/>
      <c r="R58" s="216"/>
      <c r="S58" s="128"/>
      <c r="T58" s="128"/>
      <c r="U58" s="128"/>
      <c r="V58" s="128"/>
      <c r="W58" s="201"/>
      <c r="X58" s="201"/>
      <c r="Y58" s="128"/>
      <c r="Z58" s="128"/>
      <c r="AA58" s="31">
        <f t="shared" si="6"/>
        <v>3852992</v>
      </c>
      <c r="AB58" s="31">
        <f t="shared" si="5"/>
        <v>3852992</v>
      </c>
      <c r="AC58" s="130"/>
      <c r="AD58" s="131">
        <v>500000</v>
      </c>
      <c r="AE58" s="131">
        <v>500000</v>
      </c>
      <c r="AF58" s="196">
        <f t="shared" si="8"/>
        <v>0</v>
      </c>
      <c r="AG58" s="201"/>
      <c r="AH58" s="128"/>
      <c r="AI58" s="128"/>
      <c r="AJ58" s="128"/>
    </row>
    <row r="59" spans="1:37" ht="26.25" customHeight="1" thickBot="1" x14ac:dyDescent="0.2">
      <c r="A59" s="132">
        <v>15</v>
      </c>
      <c r="B59" s="133" t="s">
        <v>60</v>
      </c>
      <c r="C59" s="60"/>
      <c r="D59" s="60"/>
      <c r="E59" s="176">
        <f t="shared" si="21"/>
        <v>0</v>
      </c>
      <c r="F59" s="176"/>
      <c r="G59" s="60"/>
      <c r="H59" s="60"/>
      <c r="I59" s="175">
        <f t="shared" si="3"/>
        <v>0</v>
      </c>
      <c r="J59" s="193"/>
      <c r="K59" s="61"/>
      <c r="L59" s="61"/>
      <c r="M59" s="175">
        <f t="shared" si="4"/>
        <v>0</v>
      </c>
      <c r="N59" s="208"/>
      <c r="O59" s="61"/>
      <c r="P59" s="61"/>
      <c r="Q59" s="208"/>
      <c r="R59" s="208"/>
      <c r="S59" s="60"/>
      <c r="T59" s="60"/>
      <c r="U59" s="60"/>
      <c r="V59" s="60"/>
      <c r="W59" s="193"/>
      <c r="X59" s="193"/>
      <c r="Y59" s="60">
        <v>2981046</v>
      </c>
      <c r="Z59" s="60">
        <v>2981046</v>
      </c>
      <c r="AA59" s="31">
        <f t="shared" si="6"/>
        <v>2981046</v>
      </c>
      <c r="AB59" s="31">
        <f t="shared" si="5"/>
        <v>2981046</v>
      </c>
      <c r="AC59" s="62"/>
      <c r="AD59" s="64"/>
      <c r="AE59" s="64"/>
      <c r="AF59" s="196">
        <f t="shared" si="8"/>
        <v>0</v>
      </c>
      <c r="AG59" s="193"/>
      <c r="AH59" s="60"/>
      <c r="AI59" s="60"/>
      <c r="AJ59" s="60"/>
    </row>
    <row r="60" spans="1:37" s="137" customFormat="1" ht="33" customHeight="1" thickBot="1" x14ac:dyDescent="0.2">
      <c r="A60" s="134">
        <v>16</v>
      </c>
      <c r="B60" s="135" t="s">
        <v>61</v>
      </c>
      <c r="C60" s="130">
        <v>0</v>
      </c>
      <c r="D60" s="130"/>
      <c r="E60" s="176">
        <f t="shared" si="21"/>
        <v>0</v>
      </c>
      <c r="F60" s="229"/>
      <c r="G60" s="130">
        <v>0</v>
      </c>
      <c r="H60" s="130"/>
      <c r="I60" s="175">
        <f t="shared" si="3"/>
        <v>0</v>
      </c>
      <c r="J60" s="229"/>
      <c r="K60" s="128">
        <v>0</v>
      </c>
      <c r="L60" s="128"/>
      <c r="M60" s="175">
        <f t="shared" si="4"/>
        <v>0</v>
      </c>
      <c r="N60" s="201"/>
      <c r="O60" s="128"/>
      <c r="P60" s="128"/>
      <c r="Q60" s="201"/>
      <c r="R60" s="201"/>
      <c r="S60" s="128">
        <v>100000</v>
      </c>
      <c r="T60" s="128">
        <v>100000</v>
      </c>
      <c r="U60" s="128">
        <v>0</v>
      </c>
      <c r="V60" s="128">
        <v>0</v>
      </c>
      <c r="W60" s="201"/>
      <c r="X60" s="201"/>
      <c r="Y60" s="130"/>
      <c r="Z60" s="130"/>
      <c r="AA60" s="31">
        <f t="shared" si="6"/>
        <v>100000</v>
      </c>
      <c r="AB60" s="31">
        <f>D60+H60+L60+P60+T60+V60+Z60</f>
        <v>100000</v>
      </c>
      <c r="AC60" s="130"/>
      <c r="AD60" s="130"/>
      <c r="AE60" s="130"/>
      <c r="AF60" s="196">
        <f t="shared" si="8"/>
        <v>0</v>
      </c>
      <c r="AG60" s="202"/>
      <c r="AH60" s="130"/>
      <c r="AI60" s="130"/>
      <c r="AJ60" s="130"/>
      <c r="AK60" s="136"/>
    </row>
    <row r="61" spans="1:37" s="137" customFormat="1" ht="27" customHeight="1" thickBot="1" x14ac:dyDescent="0.2">
      <c r="A61" s="138">
        <v>17</v>
      </c>
      <c r="B61" s="139" t="s">
        <v>62</v>
      </c>
      <c r="C61" s="62"/>
      <c r="D61" s="130">
        <v>150000</v>
      </c>
      <c r="E61" s="176">
        <f t="shared" si="21"/>
        <v>150000</v>
      </c>
      <c r="F61" s="185" t="s">
        <v>73</v>
      </c>
      <c r="G61" s="62"/>
      <c r="H61" s="130">
        <v>30000</v>
      </c>
      <c r="I61" s="175">
        <f t="shared" si="3"/>
        <v>30000</v>
      </c>
      <c r="J61" s="185" t="s">
        <v>73</v>
      </c>
      <c r="K61" s="60">
        <v>100000</v>
      </c>
      <c r="L61" s="60">
        <v>350000</v>
      </c>
      <c r="M61" s="175">
        <f t="shared" si="4"/>
        <v>250000</v>
      </c>
      <c r="N61" s="185" t="s">
        <v>73</v>
      </c>
      <c r="O61" s="60"/>
      <c r="P61" s="60"/>
      <c r="Q61" s="193"/>
      <c r="R61" s="193"/>
      <c r="S61" s="60"/>
      <c r="T61" s="60"/>
      <c r="U61" s="60"/>
      <c r="V61" s="60"/>
      <c r="W61" s="193"/>
      <c r="X61" s="193"/>
      <c r="Y61" s="62"/>
      <c r="Z61" s="62"/>
      <c r="AA61" s="31">
        <f t="shared" si="6"/>
        <v>100000</v>
      </c>
      <c r="AB61" s="31">
        <f t="shared" si="5"/>
        <v>530000</v>
      </c>
      <c r="AC61" s="62"/>
      <c r="AD61" s="62"/>
      <c r="AE61" s="62"/>
      <c r="AF61" s="196">
        <f t="shared" si="8"/>
        <v>0</v>
      </c>
      <c r="AG61" s="176"/>
      <c r="AH61" s="62"/>
      <c r="AI61" s="62"/>
      <c r="AJ61" s="62"/>
    </row>
    <row r="62" spans="1:37" ht="26.25" customHeight="1" thickBot="1" x14ac:dyDescent="0.25">
      <c r="A62" s="65">
        <v>18</v>
      </c>
      <c r="B62" s="63" t="s">
        <v>63</v>
      </c>
      <c r="C62" s="60"/>
      <c r="D62" s="60"/>
      <c r="E62" s="176">
        <f t="shared" si="21"/>
        <v>0</v>
      </c>
      <c r="F62" s="176"/>
      <c r="G62" s="60"/>
      <c r="H62" s="60"/>
      <c r="I62" s="175">
        <f t="shared" si="3"/>
        <v>0</v>
      </c>
      <c r="J62" s="193"/>
      <c r="K62" s="61">
        <v>150000</v>
      </c>
      <c r="L62" s="60">
        <v>350000</v>
      </c>
      <c r="M62" s="175">
        <f t="shared" si="4"/>
        <v>200000</v>
      </c>
      <c r="N62" s="185" t="s">
        <v>73</v>
      </c>
      <c r="O62" s="61"/>
      <c r="P62" s="61"/>
      <c r="Q62" s="208"/>
      <c r="R62" s="208"/>
      <c r="S62" s="60"/>
      <c r="T62" s="60"/>
      <c r="U62" s="60"/>
      <c r="V62" s="60"/>
      <c r="W62" s="193"/>
      <c r="X62" s="193"/>
      <c r="Y62" s="60">
        <v>0</v>
      </c>
      <c r="Z62" s="60"/>
      <c r="AA62" s="31">
        <f t="shared" si="6"/>
        <v>150000</v>
      </c>
      <c r="AB62" s="31">
        <f t="shared" si="5"/>
        <v>350000</v>
      </c>
      <c r="AC62" s="62"/>
      <c r="AD62" s="60"/>
      <c r="AE62" s="60"/>
      <c r="AF62" s="196">
        <f t="shared" si="8"/>
        <v>0</v>
      </c>
      <c r="AG62" s="193"/>
      <c r="AH62" s="60"/>
      <c r="AI62" s="60"/>
      <c r="AJ62" s="60"/>
    </row>
    <row r="63" spans="1:37" s="137" customFormat="1" ht="27" customHeight="1" thickBot="1" x14ac:dyDescent="0.25">
      <c r="A63" s="238" t="s">
        <v>64</v>
      </c>
      <c r="B63" s="249"/>
      <c r="C63" s="140">
        <f>C64+C65+C66</f>
        <v>54533061</v>
      </c>
      <c r="D63" s="140">
        <f>D64+D65+D66</f>
        <v>55144811</v>
      </c>
      <c r="E63" s="176">
        <f t="shared" si="21"/>
        <v>611750</v>
      </c>
      <c r="F63" s="176"/>
      <c r="G63" s="140">
        <f t="shared" ref="G63:Z63" si="22">G64+G65+G66</f>
        <v>12090916.32</v>
      </c>
      <c r="H63" s="140">
        <f t="shared" si="22"/>
        <v>12151972.120000001</v>
      </c>
      <c r="I63" s="175">
        <f t="shared" si="3"/>
        <v>61055.800000000745</v>
      </c>
      <c r="J63" s="176"/>
      <c r="K63" s="140">
        <f>K64+K65+K66</f>
        <v>86188968</v>
      </c>
      <c r="L63" s="140">
        <f>L64+L65+L66</f>
        <v>93338896</v>
      </c>
      <c r="M63" s="175">
        <f t="shared" si="4"/>
        <v>7149928</v>
      </c>
      <c r="N63" s="176"/>
      <c r="O63" s="140">
        <f t="shared" si="22"/>
        <v>1600000</v>
      </c>
      <c r="P63" s="140">
        <f t="shared" si="22"/>
        <v>1605000</v>
      </c>
      <c r="Q63" s="176"/>
      <c r="R63" s="176"/>
      <c r="S63" s="140">
        <f t="shared" si="22"/>
        <v>1350000</v>
      </c>
      <c r="T63" s="140">
        <f t="shared" si="22"/>
        <v>1350000</v>
      </c>
      <c r="U63" s="140">
        <f>U64+U65+U66</f>
        <v>5389312</v>
      </c>
      <c r="V63" s="140">
        <f>V64+V65+V66</f>
        <v>80460369</v>
      </c>
      <c r="W63" s="176"/>
      <c r="X63" s="176"/>
      <c r="Y63" s="140">
        <f t="shared" si="22"/>
        <v>15816046</v>
      </c>
      <c r="Z63" s="140">
        <f t="shared" si="22"/>
        <v>16596058</v>
      </c>
      <c r="AA63" s="31">
        <f t="shared" si="6"/>
        <v>176968303.31999999</v>
      </c>
      <c r="AB63" s="31">
        <f t="shared" si="5"/>
        <v>260647106.12</v>
      </c>
      <c r="AC63" s="140"/>
      <c r="AD63" s="140">
        <f>AD64+AD65+AD66</f>
        <v>369248602</v>
      </c>
      <c r="AE63" s="140">
        <f>AE64+AE65+AE66</f>
        <v>359184261</v>
      </c>
      <c r="AF63" s="196">
        <f t="shared" si="8"/>
        <v>-10064341</v>
      </c>
      <c r="AG63" s="176"/>
      <c r="AH63" s="140">
        <f>+AH6+AH55+AH57</f>
        <v>0</v>
      </c>
      <c r="AI63" s="140">
        <f>+AI6+AI55+AI57</f>
        <v>0</v>
      </c>
      <c r="AJ63" s="140">
        <f>+AJ6+AJ55+AJ57</f>
        <v>0</v>
      </c>
      <c r="AK63" s="136"/>
    </row>
    <row r="64" spans="1:37" s="143" customFormat="1" ht="12" customHeight="1" thickBot="1" x14ac:dyDescent="0.25">
      <c r="A64" s="250" t="s">
        <v>14</v>
      </c>
      <c r="B64" s="251"/>
      <c r="C64" s="141">
        <f>C7+C18+C19+C20+C21+C22+C23+C24+C25+C27+C43+C55+C57+C59+C61+C62</f>
        <v>51338901</v>
      </c>
      <c r="D64" s="141">
        <f>D7+D18+D19+D20+D21+D22+D23+D24+D25+D27+D43+D55+D57+D59+D61+D62</f>
        <v>51950651</v>
      </c>
      <c r="E64" s="176">
        <f t="shared" si="21"/>
        <v>611750</v>
      </c>
      <c r="F64" s="184"/>
      <c r="G64" s="141">
        <f t="shared" ref="G64:AJ64" si="23">G7+G18+G19+G20+G21+G22+G23+G24+G25+G27+G43+G55+G57+G59+G61+G62</f>
        <v>11444084.32</v>
      </c>
      <c r="H64" s="141">
        <f t="shared" si="23"/>
        <v>11505140.120000001</v>
      </c>
      <c r="I64" s="175">
        <f t="shared" si="3"/>
        <v>61055.800000000745</v>
      </c>
      <c r="J64" s="141"/>
      <c r="K64" s="141">
        <f t="shared" si="23"/>
        <v>77953898</v>
      </c>
      <c r="L64" s="141">
        <f t="shared" si="23"/>
        <v>80771988</v>
      </c>
      <c r="M64" s="175">
        <f t="shared" si="4"/>
        <v>2818090</v>
      </c>
      <c r="N64" s="217"/>
      <c r="O64" s="141">
        <f t="shared" si="23"/>
        <v>1600000</v>
      </c>
      <c r="P64" s="141">
        <f t="shared" si="23"/>
        <v>1605000</v>
      </c>
      <c r="Q64" s="217"/>
      <c r="R64" s="217"/>
      <c r="S64" s="141">
        <f t="shared" si="23"/>
        <v>1250000</v>
      </c>
      <c r="T64" s="141">
        <f t="shared" si="23"/>
        <v>1250000</v>
      </c>
      <c r="U64" s="141">
        <f t="shared" si="23"/>
        <v>4789312</v>
      </c>
      <c r="V64" s="141">
        <f t="shared" si="23"/>
        <v>79860369</v>
      </c>
      <c r="W64" s="217"/>
      <c r="X64" s="217"/>
      <c r="Y64" s="141">
        <f t="shared" si="23"/>
        <v>15816046</v>
      </c>
      <c r="Z64" s="141">
        <f>Z7+Z18+Z19+Z20+Z21+Z22+Z23+Z24+Z25+Z27+Z43+Z55+Z57+Z59+Z61+Z62</f>
        <v>16596058</v>
      </c>
      <c r="AA64" s="31">
        <f t="shared" si="6"/>
        <v>164192241.31999999</v>
      </c>
      <c r="AB64" s="31">
        <f t="shared" si="5"/>
        <v>243539206.12</v>
      </c>
      <c r="AC64" s="141"/>
      <c r="AD64" s="141">
        <f>AD7+AD18+AD19+AD20+AD21+AD22+AD23+AD24+AD25+AD27+AD43+AD55+AD57+AD59+AD61+AD62</f>
        <v>368748602</v>
      </c>
      <c r="AE64" s="141">
        <f>AE7+AE18+AE19+AE20+AE21+AE22+AE23+AE24+AE25+AE27+AE43+AE55+AE57+AE59+AE61+AE62</f>
        <v>358684261</v>
      </c>
      <c r="AF64" s="196">
        <f t="shared" si="8"/>
        <v>-10064341</v>
      </c>
      <c r="AG64" s="217"/>
      <c r="AH64" s="141">
        <f t="shared" si="23"/>
        <v>0</v>
      </c>
      <c r="AI64" s="141">
        <f t="shared" si="23"/>
        <v>0</v>
      </c>
      <c r="AJ64" s="141">
        <f t="shared" si="23"/>
        <v>0</v>
      </c>
      <c r="AK64" s="142"/>
    </row>
    <row r="65" spans="1:38" s="143" customFormat="1" ht="12" customHeight="1" thickBot="1" x14ac:dyDescent="0.25">
      <c r="A65" s="252" t="s">
        <v>16</v>
      </c>
      <c r="B65" s="253"/>
      <c r="C65" s="144">
        <v>0</v>
      </c>
      <c r="D65" s="144"/>
      <c r="E65" s="176">
        <f t="shared" si="21"/>
        <v>0</v>
      </c>
      <c r="F65" s="183"/>
      <c r="G65" s="144">
        <v>0</v>
      </c>
      <c r="H65" s="144"/>
      <c r="I65" s="175">
        <f t="shared" si="3"/>
        <v>0</v>
      </c>
      <c r="J65" s="203"/>
      <c r="K65" s="144">
        <v>0</v>
      </c>
      <c r="L65" s="144"/>
      <c r="M65" s="175">
        <f t="shared" si="4"/>
        <v>0</v>
      </c>
      <c r="N65" s="203"/>
      <c r="O65" s="144">
        <v>0</v>
      </c>
      <c r="P65" s="144"/>
      <c r="Q65" s="203"/>
      <c r="R65" s="203"/>
      <c r="S65" s="144">
        <v>0</v>
      </c>
      <c r="T65" s="144"/>
      <c r="U65" s="144">
        <v>0</v>
      </c>
      <c r="V65" s="145"/>
      <c r="W65" s="225"/>
      <c r="X65" s="225"/>
      <c r="Y65" s="145">
        <v>0</v>
      </c>
      <c r="Z65" s="167"/>
      <c r="AA65" s="31">
        <f t="shared" si="6"/>
        <v>0</v>
      </c>
      <c r="AB65" s="31">
        <f t="shared" si="5"/>
        <v>0</v>
      </c>
      <c r="AC65" s="19"/>
      <c r="AD65" s="20">
        <v>0</v>
      </c>
      <c r="AE65" s="167"/>
      <c r="AF65" s="196">
        <f t="shared" si="8"/>
        <v>0</v>
      </c>
      <c r="AG65" s="233"/>
      <c r="AH65" s="146">
        <v>0</v>
      </c>
      <c r="AI65" s="144">
        <v>0</v>
      </c>
      <c r="AJ65" s="144">
        <v>0</v>
      </c>
      <c r="AK65" s="142"/>
    </row>
    <row r="66" spans="1:38" s="143" customFormat="1" ht="12" customHeight="1" thickBot="1" x14ac:dyDescent="0.25">
      <c r="A66" s="254" t="s">
        <v>15</v>
      </c>
      <c r="B66" s="255"/>
      <c r="C66" s="147">
        <f>C8+C44+C58+C60+C26</f>
        <v>3194160</v>
      </c>
      <c r="D66" s="147">
        <f>D8+D44+D58+D60+D26</f>
        <v>3194160</v>
      </c>
      <c r="E66" s="176">
        <f t="shared" si="21"/>
        <v>0</v>
      </c>
      <c r="F66" s="179"/>
      <c r="G66" s="147">
        <f t="shared" ref="G66:AJ66" si="24">G8+G44+G58+G60+G26</f>
        <v>646832</v>
      </c>
      <c r="H66" s="147">
        <f t="shared" si="24"/>
        <v>646832</v>
      </c>
      <c r="I66" s="175">
        <f t="shared" si="3"/>
        <v>0</v>
      </c>
      <c r="J66" s="204"/>
      <c r="K66" s="147">
        <f t="shared" si="24"/>
        <v>8235070</v>
      </c>
      <c r="L66" s="147">
        <f>L8+L44+L58+L60+L26</f>
        <v>12566908</v>
      </c>
      <c r="M66" s="175">
        <f t="shared" si="4"/>
        <v>4331838</v>
      </c>
      <c r="N66" s="204"/>
      <c r="O66" s="147">
        <f t="shared" si="24"/>
        <v>0</v>
      </c>
      <c r="P66" s="147"/>
      <c r="Q66" s="204"/>
      <c r="R66" s="204"/>
      <c r="S66" s="147">
        <f t="shared" si="24"/>
        <v>100000</v>
      </c>
      <c r="T66" s="147">
        <f t="shared" si="24"/>
        <v>100000</v>
      </c>
      <c r="U66" s="147">
        <f t="shared" si="24"/>
        <v>600000</v>
      </c>
      <c r="V66" s="147">
        <f t="shared" si="24"/>
        <v>600000</v>
      </c>
      <c r="W66" s="204"/>
      <c r="X66" s="204"/>
      <c r="Y66" s="147">
        <f t="shared" si="24"/>
        <v>0</v>
      </c>
      <c r="Z66" s="147"/>
      <c r="AA66" s="31">
        <f t="shared" si="6"/>
        <v>12776062</v>
      </c>
      <c r="AB66" s="31">
        <f t="shared" si="5"/>
        <v>17107900</v>
      </c>
      <c r="AC66" s="147"/>
      <c r="AD66" s="147">
        <f t="shared" si="24"/>
        <v>500000</v>
      </c>
      <c r="AE66" s="147">
        <f t="shared" si="24"/>
        <v>500000</v>
      </c>
      <c r="AF66" s="204"/>
      <c r="AG66" s="204"/>
      <c r="AH66" s="147">
        <f t="shared" si="24"/>
        <v>0</v>
      </c>
      <c r="AI66" s="147">
        <f t="shared" si="24"/>
        <v>0</v>
      </c>
      <c r="AJ66" s="147">
        <f t="shared" si="24"/>
        <v>0</v>
      </c>
      <c r="AK66" s="148"/>
      <c r="AL66" s="149"/>
    </row>
    <row r="67" spans="1:38" s="137" customFormat="1" ht="12" customHeight="1" x14ac:dyDescent="0.2">
      <c r="A67" s="240" t="s">
        <v>65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136"/>
    </row>
    <row r="68" spans="1:38" s="137" customFormat="1" ht="24.75" customHeight="1" x14ac:dyDescent="0.2">
      <c r="A68" s="150">
        <v>19</v>
      </c>
      <c r="B68" s="151" t="s">
        <v>66</v>
      </c>
      <c r="C68" s="58"/>
      <c r="D68" s="58"/>
      <c r="E68" s="178"/>
      <c r="F68" s="178"/>
      <c r="G68" s="58"/>
      <c r="H68" s="58"/>
      <c r="I68" s="178">
        <f>H68-G68</f>
        <v>0</v>
      </c>
      <c r="J68" s="178"/>
      <c r="K68" s="58"/>
      <c r="L68" s="58"/>
      <c r="M68" s="178">
        <f>L68-K68</f>
        <v>0</v>
      </c>
      <c r="N68" s="178"/>
      <c r="O68" s="58"/>
      <c r="P68" s="58"/>
      <c r="Q68" s="178"/>
      <c r="R68" s="178"/>
      <c r="S68" s="52">
        <v>150000000</v>
      </c>
      <c r="T68" s="58">
        <v>150000000</v>
      </c>
      <c r="U68" s="58"/>
      <c r="V68" s="58"/>
      <c r="W68" s="178"/>
      <c r="X68" s="178"/>
      <c r="Y68" s="58"/>
      <c r="Z68" s="58"/>
      <c r="AA68" s="58">
        <f>T68</f>
        <v>150000000</v>
      </c>
      <c r="AB68" s="58">
        <f>T68</f>
        <v>150000000</v>
      </c>
      <c r="AC68" s="58"/>
      <c r="AD68" s="52"/>
      <c r="AE68" s="52"/>
      <c r="AF68" s="188"/>
      <c r="AG68" s="188"/>
      <c r="AH68" s="152"/>
      <c r="AI68" s="58">
        <v>0</v>
      </c>
      <c r="AJ68" s="58"/>
      <c r="AK68" s="136"/>
    </row>
    <row r="69" spans="1:38" s="137" customFormat="1" ht="30" customHeight="1" thickBot="1" x14ac:dyDescent="0.25">
      <c r="A69" s="150">
        <v>20</v>
      </c>
      <c r="B69" s="119" t="s">
        <v>67</v>
      </c>
      <c r="C69" s="58"/>
      <c r="D69" s="58"/>
      <c r="E69" s="178"/>
      <c r="F69" s="178"/>
      <c r="G69" s="58"/>
      <c r="H69" s="58"/>
      <c r="I69" s="178">
        <f t="shared" ref="I69:I70" si="25">H69-G69</f>
        <v>0</v>
      </c>
      <c r="J69" s="178"/>
      <c r="K69" s="53"/>
      <c r="L69" s="53"/>
      <c r="M69" s="178">
        <f t="shared" ref="M69:M70" si="26">L69-K69</f>
        <v>0</v>
      </c>
      <c r="N69" s="192"/>
      <c r="O69" s="58"/>
      <c r="P69" s="58"/>
      <c r="Q69" s="178"/>
      <c r="R69" s="178"/>
      <c r="S69" s="58"/>
      <c r="T69" s="58"/>
      <c r="U69" s="58">
        <v>0</v>
      </c>
      <c r="V69" s="58">
        <v>7259435</v>
      </c>
      <c r="W69" s="228" t="s">
        <v>104</v>
      </c>
      <c r="X69" s="178"/>
      <c r="Y69" s="58"/>
      <c r="Z69" s="58"/>
      <c r="AA69" s="58">
        <f>T69+U69</f>
        <v>0</v>
      </c>
      <c r="AB69" s="58">
        <f t="shared" ref="AB69" si="27">U69+V69</f>
        <v>7259435</v>
      </c>
      <c r="AC69" s="58"/>
      <c r="AD69" s="153"/>
      <c r="AE69" s="153"/>
      <c r="AF69" s="234"/>
      <c r="AG69" s="234"/>
      <c r="AH69" s="154"/>
      <c r="AI69" s="58"/>
      <c r="AJ69" s="58"/>
      <c r="AK69" s="136"/>
    </row>
    <row r="70" spans="1:38" ht="36" customHeight="1" thickBot="1" x14ac:dyDescent="0.25">
      <c r="A70" s="238" t="s">
        <v>68</v>
      </c>
      <c r="B70" s="239"/>
      <c r="C70" s="140">
        <f>C63+C68+C69</f>
        <v>54533061</v>
      </c>
      <c r="D70" s="140">
        <f>D63+D68+D69</f>
        <v>55144811</v>
      </c>
      <c r="E70" s="176">
        <f>D70-C70</f>
        <v>611750</v>
      </c>
      <c r="F70" s="176"/>
      <c r="G70" s="140">
        <f t="shared" ref="G70:Z70" si="28">G63+G68+G69</f>
        <v>12090916.32</v>
      </c>
      <c r="H70" s="140">
        <f t="shared" si="28"/>
        <v>12151972.120000001</v>
      </c>
      <c r="I70" s="178">
        <f t="shared" si="25"/>
        <v>61055.800000000745</v>
      </c>
      <c r="J70" s="176"/>
      <c r="K70" s="140">
        <f t="shared" si="28"/>
        <v>86188968</v>
      </c>
      <c r="L70" s="140">
        <f t="shared" si="28"/>
        <v>93338896</v>
      </c>
      <c r="M70" s="178">
        <f t="shared" si="26"/>
        <v>7149928</v>
      </c>
      <c r="N70" s="176"/>
      <c r="O70" s="140">
        <f t="shared" si="28"/>
        <v>1600000</v>
      </c>
      <c r="P70" s="140">
        <f t="shared" si="28"/>
        <v>1605000</v>
      </c>
      <c r="Q70" s="176">
        <f>P70-O70</f>
        <v>5000</v>
      </c>
      <c r="R70" s="176"/>
      <c r="S70" s="140">
        <f t="shared" si="28"/>
        <v>151350000</v>
      </c>
      <c r="T70" s="140">
        <f t="shared" si="28"/>
        <v>151350000</v>
      </c>
      <c r="U70" s="140">
        <f t="shared" si="28"/>
        <v>5389312</v>
      </c>
      <c r="V70" s="140">
        <f t="shared" si="28"/>
        <v>87719804</v>
      </c>
      <c r="W70" s="176">
        <f>V70-U70</f>
        <v>82330492</v>
      </c>
      <c r="X70" s="176"/>
      <c r="Y70" s="140">
        <f t="shared" si="28"/>
        <v>15816046</v>
      </c>
      <c r="Z70" s="140">
        <f>Z63+Z68+Z69</f>
        <v>16596058</v>
      </c>
      <c r="AA70" s="140">
        <f>C70+G70+K70+O70+S70+U70+Y70</f>
        <v>326968303.31999999</v>
      </c>
      <c r="AB70" s="140">
        <f>D70+H70+L70+P70+T70+V70+Z70</f>
        <v>417906541.12</v>
      </c>
      <c r="AC70" s="140"/>
      <c r="AD70" s="155">
        <f>AD63+AD68+AD69</f>
        <v>369248602</v>
      </c>
      <c r="AE70" s="155">
        <f>AE63+AE68+AE69</f>
        <v>359184261</v>
      </c>
      <c r="AF70" s="235">
        <f>AE70-AD70</f>
        <v>-10064341</v>
      </c>
      <c r="AG70" s="235"/>
      <c r="AH70" s="156">
        <f t="shared" ref="AH70:AJ70" si="29">AH63+AH68+AH69</f>
        <v>0</v>
      </c>
      <c r="AI70" s="19">
        <f t="shared" si="29"/>
        <v>0</v>
      </c>
      <c r="AJ70" s="19">
        <f t="shared" si="29"/>
        <v>0</v>
      </c>
      <c r="AK70" s="99"/>
      <c r="AL70" s="157"/>
    </row>
    <row r="71" spans="1:38" ht="12.75" customHeight="1" x14ac:dyDescent="0.2">
      <c r="A71" s="158"/>
      <c r="B71" s="159"/>
      <c r="C71" s="159"/>
      <c r="D71" s="159"/>
      <c r="E71" s="180"/>
      <c r="F71" s="180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60"/>
      <c r="AB71" s="160"/>
      <c r="AC71" s="160"/>
      <c r="AD71" s="161"/>
      <c r="AE71" s="168"/>
      <c r="AF71" s="168"/>
      <c r="AG71" s="168"/>
      <c r="AH71" s="159"/>
      <c r="AI71" s="159"/>
      <c r="AJ71" s="161"/>
    </row>
    <row r="72" spans="1:38" ht="21" customHeight="1" x14ac:dyDescent="0.2">
      <c r="A72" s="158"/>
      <c r="B72" s="159"/>
      <c r="C72" s="162"/>
      <c r="D72" s="162"/>
      <c r="E72" s="181"/>
      <c r="F72" s="181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3"/>
      <c r="AB72" s="163"/>
      <c r="AC72" s="163"/>
      <c r="AD72" s="162"/>
      <c r="AE72" s="162"/>
      <c r="AF72" s="162"/>
      <c r="AG72" s="162"/>
      <c r="AH72" s="162"/>
      <c r="AI72" s="162"/>
      <c r="AJ72" s="162"/>
    </row>
    <row r="73" spans="1:38" ht="12.75" customHeight="1" x14ac:dyDescent="0.2">
      <c r="A73" s="158"/>
      <c r="B73" s="159"/>
      <c r="C73" s="162">
        <f>D70+H70+L70+P70+T70+V70+Z70</f>
        <v>417906541.12</v>
      </c>
      <c r="D73" s="162">
        <f>E70+Q70+W70+AF70+I70+M70</f>
        <v>80093884.799999997</v>
      </c>
      <c r="E73" s="181"/>
      <c r="F73" s="181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</row>
    <row r="74" spans="1:38" ht="12.75" customHeight="1" x14ac:dyDescent="0.2">
      <c r="A74" s="158"/>
      <c r="B74" s="159"/>
      <c r="C74" s="162">
        <f>C73+AE70</f>
        <v>777090802.12</v>
      </c>
      <c r="D74" s="162"/>
      <c r="E74" s="181"/>
      <c r="F74" s="181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</row>
    <row r="75" spans="1:38" ht="12.75" customHeight="1" x14ac:dyDescent="0.2">
      <c r="A75" s="158"/>
      <c r="B75" s="159"/>
      <c r="C75" s="162"/>
      <c r="D75" s="162"/>
      <c r="E75" s="181"/>
      <c r="F75" s="181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3"/>
      <c r="AB75" s="163"/>
      <c r="AC75" s="163"/>
      <c r="AD75" s="162"/>
      <c r="AE75" s="162"/>
      <c r="AF75" s="162"/>
      <c r="AG75" s="162"/>
      <c r="AH75" s="162"/>
      <c r="AI75" s="162"/>
      <c r="AJ75" s="162"/>
    </row>
    <row r="76" spans="1:38" ht="12.75" customHeight="1" x14ac:dyDescent="0.2">
      <c r="A76" s="158"/>
      <c r="B76" s="159"/>
      <c r="C76" s="162"/>
      <c r="D76" s="162"/>
      <c r="E76" s="181"/>
      <c r="F76" s="181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3"/>
      <c r="AB76" s="163"/>
      <c r="AC76" s="163"/>
      <c r="AD76" s="162"/>
      <c r="AE76" s="162"/>
      <c r="AF76" s="162"/>
      <c r="AG76" s="162"/>
      <c r="AH76" s="162"/>
      <c r="AI76" s="162"/>
      <c r="AJ76" s="162"/>
    </row>
    <row r="77" spans="1:38" ht="12.75" customHeight="1" x14ac:dyDescent="0.2">
      <c r="A77" s="158"/>
      <c r="B77" s="159"/>
      <c r="C77" s="162"/>
      <c r="D77" s="162"/>
      <c r="E77" s="181"/>
      <c r="F77" s="181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</row>
    <row r="78" spans="1:38" ht="12.75" customHeight="1" x14ac:dyDescent="0.2">
      <c r="A78" s="158"/>
      <c r="B78" s="159"/>
      <c r="C78" s="162"/>
      <c r="D78" s="162"/>
      <c r="E78" s="181"/>
      <c r="F78" s="181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8" ht="12.75" customHeight="1" x14ac:dyDescent="0.2">
      <c r="A79" s="158"/>
      <c r="B79" s="159"/>
      <c r="C79" s="162"/>
      <c r="D79" s="162"/>
      <c r="E79" s="181"/>
      <c r="F79" s="181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3"/>
      <c r="AB79" s="163"/>
      <c r="AC79" s="163"/>
      <c r="AD79" s="162"/>
      <c r="AE79" s="162"/>
      <c r="AF79" s="162"/>
      <c r="AG79" s="162"/>
      <c r="AH79" s="162"/>
      <c r="AI79" s="162"/>
      <c r="AJ79" s="162"/>
    </row>
    <row r="80" spans="1:38" ht="12.75" customHeight="1" x14ac:dyDescent="0.2">
      <c r="A80" s="158"/>
      <c r="B80" s="159"/>
      <c r="C80" s="162"/>
      <c r="D80" s="162"/>
      <c r="E80" s="181"/>
      <c r="F80" s="18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3"/>
      <c r="AB80" s="163"/>
      <c r="AC80" s="163"/>
      <c r="AD80" s="162"/>
      <c r="AE80" s="162"/>
      <c r="AF80" s="162"/>
      <c r="AG80" s="162"/>
      <c r="AH80" s="162"/>
      <c r="AI80" s="162"/>
      <c r="AJ80" s="162"/>
    </row>
    <row r="81" spans="1:36" ht="12.75" customHeight="1" x14ac:dyDescent="0.2">
      <c r="A81" s="158"/>
      <c r="B81" s="159"/>
      <c r="C81" s="159"/>
      <c r="D81" s="159"/>
      <c r="E81" s="180"/>
      <c r="F81" s="180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60"/>
      <c r="AB81" s="160"/>
      <c r="AC81" s="160"/>
      <c r="AD81" s="159"/>
      <c r="AE81" s="159"/>
      <c r="AF81" s="159"/>
      <c r="AG81" s="159"/>
      <c r="AH81" s="159"/>
      <c r="AI81" s="159"/>
      <c r="AJ81" s="159"/>
    </row>
    <row r="82" spans="1:36" ht="12.75" customHeight="1" x14ac:dyDescent="0.2">
      <c r="A82" s="158"/>
      <c r="B82" s="159"/>
      <c r="C82" s="159"/>
      <c r="D82" s="159"/>
      <c r="E82" s="180"/>
      <c r="F82" s="180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60"/>
      <c r="AB82" s="160"/>
      <c r="AC82" s="160"/>
      <c r="AD82" s="159"/>
      <c r="AE82" s="159"/>
      <c r="AF82" s="159"/>
      <c r="AG82" s="159"/>
      <c r="AH82" s="159"/>
      <c r="AI82" s="159"/>
      <c r="AJ82" s="159"/>
    </row>
    <row r="83" spans="1:36" ht="12.75" customHeight="1" x14ac:dyDescent="0.2">
      <c r="A83" s="158"/>
      <c r="B83" s="159"/>
      <c r="C83" s="159"/>
      <c r="D83" s="159"/>
      <c r="E83" s="180"/>
      <c r="F83" s="180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60"/>
      <c r="AB83" s="160"/>
      <c r="AC83" s="160"/>
      <c r="AD83" s="159"/>
      <c r="AE83" s="159"/>
      <c r="AF83" s="159"/>
      <c r="AG83" s="159"/>
      <c r="AH83" s="159"/>
      <c r="AI83" s="159"/>
      <c r="AJ83" s="159"/>
    </row>
    <row r="84" spans="1:36" ht="12.75" customHeight="1" x14ac:dyDescent="0.2">
      <c r="A84" s="158"/>
      <c r="B84" s="159"/>
      <c r="C84" s="159"/>
      <c r="D84" s="159"/>
      <c r="E84" s="180"/>
      <c r="F84" s="180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60"/>
      <c r="AB84" s="160"/>
      <c r="AC84" s="160"/>
      <c r="AD84" s="159"/>
      <c r="AE84" s="159"/>
      <c r="AF84" s="159"/>
      <c r="AG84" s="159"/>
      <c r="AH84" s="159"/>
      <c r="AI84" s="159"/>
      <c r="AJ84" s="159"/>
    </row>
    <row r="85" spans="1:36" ht="12.75" customHeight="1" x14ac:dyDescent="0.2">
      <c r="A85" s="158"/>
      <c r="B85" s="159"/>
      <c r="C85" s="159"/>
      <c r="D85" s="159"/>
      <c r="E85" s="180"/>
      <c r="F85" s="180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60"/>
      <c r="AB85" s="160"/>
      <c r="AC85" s="160"/>
      <c r="AD85" s="159"/>
      <c r="AE85" s="159"/>
      <c r="AF85" s="159"/>
      <c r="AG85" s="159"/>
      <c r="AH85" s="159"/>
      <c r="AI85" s="159"/>
      <c r="AJ85" s="159"/>
    </row>
    <row r="86" spans="1:36" ht="12.75" customHeight="1" x14ac:dyDescent="0.2">
      <c r="A86" s="158"/>
      <c r="B86" s="159"/>
      <c r="C86" s="159"/>
      <c r="D86" s="159"/>
      <c r="E86" s="180"/>
      <c r="F86" s="180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60"/>
      <c r="AB86" s="160"/>
      <c r="AC86" s="160"/>
      <c r="AD86" s="159"/>
      <c r="AE86" s="159"/>
      <c r="AF86" s="159"/>
      <c r="AG86" s="159"/>
      <c r="AH86" s="159"/>
      <c r="AI86" s="159"/>
      <c r="AJ86" s="159"/>
    </row>
    <row r="87" spans="1:36" ht="12.75" customHeight="1" x14ac:dyDescent="0.2">
      <c r="A87" s="158"/>
      <c r="B87" s="159"/>
      <c r="C87" s="159"/>
      <c r="D87" s="159"/>
      <c r="E87" s="180"/>
      <c r="F87" s="180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60"/>
      <c r="AB87" s="160"/>
      <c r="AC87" s="160"/>
      <c r="AD87" s="159"/>
      <c r="AE87" s="159"/>
      <c r="AF87" s="159"/>
      <c r="AG87" s="159"/>
      <c r="AH87" s="159"/>
      <c r="AI87" s="159"/>
      <c r="AJ87" s="159"/>
    </row>
    <row r="88" spans="1:36" ht="12.75" customHeight="1" x14ac:dyDescent="0.2">
      <c r="A88" s="158"/>
      <c r="B88" s="159"/>
      <c r="C88" s="159"/>
      <c r="D88" s="159"/>
      <c r="E88" s="180"/>
      <c r="F88" s="180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60"/>
      <c r="AB88" s="160"/>
      <c r="AC88" s="160"/>
      <c r="AD88" s="159"/>
      <c r="AE88" s="159"/>
      <c r="AF88" s="159"/>
      <c r="AG88" s="159"/>
      <c r="AH88" s="159"/>
      <c r="AI88" s="159"/>
      <c r="AJ88" s="159"/>
    </row>
  </sheetData>
  <mergeCells count="23">
    <mergeCell ref="AH1:AJ1"/>
    <mergeCell ref="AH2:AJ2"/>
    <mergeCell ref="S3:S4"/>
    <mergeCell ref="U3:U4"/>
    <mergeCell ref="Y3:Y4"/>
    <mergeCell ref="AH3:AH4"/>
    <mergeCell ref="V3:V4"/>
    <mergeCell ref="S2:Z2"/>
    <mergeCell ref="A70:B70"/>
    <mergeCell ref="A67:AJ67"/>
    <mergeCell ref="AI3:AI4"/>
    <mergeCell ref="AJ3:AJ4"/>
    <mergeCell ref="C2:C4"/>
    <mergeCell ref="D2:D4"/>
    <mergeCell ref="B2:B5"/>
    <mergeCell ref="K2:K4"/>
    <mergeCell ref="L2:L4"/>
    <mergeCell ref="O2:O4"/>
    <mergeCell ref="P2:P4"/>
    <mergeCell ref="A63:B63"/>
    <mergeCell ref="A64:B64"/>
    <mergeCell ref="A65:B65"/>
    <mergeCell ref="A66:B66"/>
  </mergeCells>
  <printOptions horizontalCentered="1" verticalCentered="1"/>
  <pageMargins left="0.39370078740157483" right="0.39370078740157483" top="0.39370078740157483" bottom="0.39370078740157483" header="0" footer="0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 kiadások</vt:lpstr>
      <vt:lpstr>'5 kiadások'!Nyomtatási_cím</vt:lpstr>
      <vt:lpstr>'5 kiadások'!Nyomtatási_terület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Budai Ferencne</dc:creator>
  <cp:lastModifiedBy>Boldoczki Krisztina</cp:lastModifiedBy>
  <dcterms:created xsi:type="dcterms:W3CDTF">2019-03-01T10:50:52Z</dcterms:created>
  <dcterms:modified xsi:type="dcterms:W3CDTF">2019-09-11T10:40:43Z</dcterms:modified>
</cp:coreProperties>
</file>